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ailing\IRSA\Technical\Classes\2018_Certificates\"/>
    </mc:Choice>
  </mc:AlternateContent>
  <workbookProtection workbookAlgorithmName="SHA-512" workbookHashValue="+SDGGL1imEZ3YtbeHvCwIfKRooswYk+nTpGJqmDNw6vgnAJsplfzfnxwsQ3RzO90i/k1SV/okB+iMn3qNbRq+g==" workbookSaltValue="wBFb1PPFmfSRDOT/UsyMgw==" workbookSpinCount="100000" lockStructure="1"/>
  <bookViews>
    <workbookView xWindow="0" yWindow="0" windowWidth="23040" windowHeight="9192" tabRatio="778"/>
  </bookViews>
  <sheets>
    <sheet name="status of this document" sheetId="5" r:id="rId1"/>
    <sheet name="measurements and calculations" sheetId="4" r:id="rId2"/>
    <sheet name="min combined cross section" sheetId="3" r:id="rId3"/>
    <sheet name="rig sail measurement form" sheetId="1" r:id="rId4"/>
    <sheet name="certificate" sheetId="2" r:id="rId5"/>
  </sheets>
  <definedNames>
    <definedName name="_xlnm.Print_Area" localSheetId="4">certificate!$B$3:$I$54</definedName>
    <definedName name="_xlnm.Print_Area" localSheetId="1">'measurements and calculations'!$A$1:$C$13</definedName>
    <definedName name="_xlnm.Print_Area" localSheetId="2">'min combined cross section'!$B$2:$M$79</definedName>
    <definedName name="_xlnm.Print_Area" localSheetId="3">'rig sail measurement form'!$B$2:$I$57</definedName>
    <definedName name="_xlnm.Print_Area" localSheetId="0">'status of this document'!$A$1:$I$11</definedName>
    <definedName name="page35" localSheetId="2">'min combined cross section'!$B$25</definedName>
  </definedNames>
  <calcPr calcId="162913"/>
</workbook>
</file>

<file path=xl/calcChain.xml><?xml version="1.0" encoding="utf-8"?>
<calcChain xmlns="http://schemas.openxmlformats.org/spreadsheetml/2006/main">
  <c r="C5" i="1" l="1"/>
  <c r="E55" i="1" s="1"/>
  <c r="K4" i="2"/>
  <c r="K3" i="2"/>
  <c r="K3" i="1"/>
  <c r="K2" i="1"/>
  <c r="B5" i="4"/>
  <c r="D5" i="4"/>
  <c r="Q13" i="1"/>
  <c r="M13" i="1" s="1"/>
  <c r="C40" i="3"/>
  <c r="C13" i="4"/>
  <c r="I57" i="1"/>
  <c r="I54" i="2"/>
  <c r="C39" i="3"/>
  <c r="B6" i="3"/>
  <c r="E6" i="3" s="1"/>
  <c r="F54" i="2"/>
  <c r="E57" i="1"/>
  <c r="B13" i="4"/>
  <c r="B57" i="1"/>
  <c r="B54" i="2"/>
  <c r="G28" i="3"/>
  <c r="I28" i="3"/>
  <c r="J28" i="3" s="1"/>
  <c r="H28" i="3"/>
  <c r="F29" i="3"/>
  <c r="M29" i="1"/>
  <c r="M31" i="1"/>
  <c r="M34" i="1"/>
  <c r="R13" i="1"/>
  <c r="M18" i="1"/>
  <c r="M19" i="1"/>
  <c r="N34" i="1"/>
  <c r="O37" i="1"/>
  <c r="N37" i="1"/>
  <c r="M37" i="1"/>
  <c r="O34" i="1"/>
  <c r="O36" i="1" s="1"/>
  <c r="I36" i="1" s="1"/>
  <c r="O31" i="1"/>
  <c r="N31" i="1"/>
  <c r="O30" i="1"/>
  <c r="O38" i="1"/>
  <c r="N30" i="1"/>
  <c r="N32" i="1"/>
  <c r="M30" i="1"/>
  <c r="O29" i="1"/>
  <c r="N29" i="1"/>
  <c r="H29" i="2"/>
  <c r="O25" i="1"/>
  <c r="O18" i="1"/>
  <c r="N25" i="1"/>
  <c r="M25" i="1"/>
  <c r="O22" i="1"/>
  <c r="N22" i="1"/>
  <c r="M22" i="1"/>
  <c r="O19" i="1"/>
  <c r="N19" i="1"/>
  <c r="N18" i="1"/>
  <c r="O14" i="1"/>
  <c r="I22" i="2" s="1"/>
  <c r="N14" i="1"/>
  <c r="H22" i="2" s="1"/>
  <c r="M14" i="1"/>
  <c r="G22" i="2" s="1"/>
  <c r="M38" i="1"/>
  <c r="O32" i="1"/>
  <c r="F30" i="3"/>
  <c r="H29" i="3"/>
  <c r="G29" i="3"/>
  <c r="I29" i="3"/>
  <c r="J29" i="3" s="1"/>
  <c r="M23" i="1"/>
  <c r="G25" i="2"/>
  <c r="M20" i="1"/>
  <c r="M26" i="1"/>
  <c r="O35" i="1"/>
  <c r="I35" i="1"/>
  <c r="S34" i="1" s="1"/>
  <c r="I32" i="2" s="1"/>
  <c r="M32" i="1"/>
  <c r="G32" i="1"/>
  <c r="Q31" i="1" s="1"/>
  <c r="G31" i="2" s="1"/>
  <c r="G30" i="2"/>
  <c r="M35" i="1"/>
  <c r="G35" i="1" s="1"/>
  <c r="Q34" i="1"/>
  <c r="G32" i="2" s="1"/>
  <c r="M36" i="1"/>
  <c r="G36" i="1" s="1"/>
  <c r="M33" i="1"/>
  <c r="G33" i="1" s="1"/>
  <c r="M21" i="1"/>
  <c r="G21" i="1"/>
  <c r="G20" i="1"/>
  <c r="Q19" i="1"/>
  <c r="G26" i="2" s="1"/>
  <c r="I30" i="2"/>
  <c r="I44" i="1"/>
  <c r="N35" i="1"/>
  <c r="N38" i="1"/>
  <c r="H38" i="1" s="1"/>
  <c r="N39" i="1"/>
  <c r="H39" i="1" s="1"/>
  <c r="R37" i="1"/>
  <c r="H33" i="2" s="1"/>
  <c r="H30" i="2"/>
  <c r="H44" i="1"/>
  <c r="E53" i="1"/>
  <c r="M15" i="1"/>
  <c r="G26" i="1"/>
  <c r="Q25" i="1" s="1"/>
  <c r="G28" i="2" s="1"/>
  <c r="M27" i="1"/>
  <c r="G27" i="1"/>
  <c r="H32" i="1"/>
  <c r="R31" i="1"/>
  <c r="H31" i="2" s="1"/>
  <c r="N33" i="1"/>
  <c r="O26" i="1"/>
  <c r="H35" i="1"/>
  <c r="R34" i="1"/>
  <c r="H32" i="2" s="1"/>
  <c r="N36" i="1"/>
  <c r="H36" i="1" s="1"/>
  <c r="H33" i="1"/>
  <c r="G16" i="1"/>
  <c r="G24" i="2" s="1"/>
  <c r="G5" i="1"/>
  <c r="O27" i="1" l="1"/>
  <c r="I27" i="1" s="1"/>
  <c r="I26" i="1"/>
  <c r="S25" i="1" s="1"/>
  <c r="I28" i="2" s="1"/>
  <c r="F31" i="3"/>
  <c r="H30" i="3"/>
  <c r="G30" i="3"/>
  <c r="I30" i="3" s="1"/>
  <c r="J30" i="3" s="1"/>
  <c r="G29" i="2"/>
  <c r="G44" i="1"/>
  <c r="G21" i="2"/>
  <c r="G41" i="1"/>
  <c r="G15" i="1"/>
  <c r="G23" i="2"/>
  <c r="I32" i="1"/>
  <c r="S31" i="1" s="1"/>
  <c r="I31" i="2" s="1"/>
  <c r="O33" i="1"/>
  <c r="I33" i="1" s="1"/>
  <c r="O13" i="1"/>
  <c r="N13" i="1"/>
  <c r="G23" i="1"/>
  <c r="Q22" i="1" s="1"/>
  <c r="G27" i="2" s="1"/>
  <c r="M24" i="1"/>
  <c r="G24" i="1" s="1"/>
  <c r="G38" i="1"/>
  <c r="Q37" i="1" s="1"/>
  <c r="G33" i="2" s="1"/>
  <c r="M39" i="1"/>
  <c r="G39" i="1" s="1"/>
  <c r="N26" i="1"/>
  <c r="H25" i="2"/>
  <c r="N20" i="1"/>
  <c r="N23" i="1"/>
  <c r="H23" i="1" s="1"/>
  <c r="R22" i="1" s="1"/>
  <c r="H27" i="2" s="1"/>
  <c r="N24" i="1"/>
  <c r="H24" i="1" s="1"/>
  <c r="I25" i="2"/>
  <c r="O20" i="1"/>
  <c r="O23" i="1"/>
  <c r="I45" i="1"/>
  <c r="I46" i="1" s="1"/>
  <c r="I35" i="2" s="1"/>
  <c r="I29" i="2"/>
  <c r="O39" i="1"/>
  <c r="I39" i="1" s="1"/>
  <c r="I38" i="1"/>
  <c r="S37" i="1" s="1"/>
  <c r="I33" i="2" s="1"/>
  <c r="H45" i="1"/>
  <c r="H46" i="1" s="1"/>
  <c r="H35" i="2" s="1"/>
  <c r="I21" i="2" l="1"/>
  <c r="O15" i="1"/>
  <c r="I41" i="1"/>
  <c r="G42" i="1"/>
  <c r="H31" i="3"/>
  <c r="F32" i="3"/>
  <c r="G31" i="3"/>
  <c r="I31" i="3" s="1"/>
  <c r="J31" i="3" s="1"/>
  <c r="O24" i="1"/>
  <c r="I24" i="1" s="1"/>
  <c r="I23" i="1"/>
  <c r="S22" i="1" s="1"/>
  <c r="I27" i="2" s="1"/>
  <c r="O21" i="1"/>
  <c r="I21" i="1" s="1"/>
  <c r="I20" i="1"/>
  <c r="S19" i="1" s="1"/>
  <c r="I26" i="2" s="1"/>
  <c r="N21" i="1"/>
  <c r="H21" i="1" s="1"/>
  <c r="H20" i="1"/>
  <c r="R19" i="1" s="1"/>
  <c r="H26" i="2" s="1"/>
  <c r="G43" i="1"/>
  <c r="G34" i="2" s="1"/>
  <c r="N27" i="1"/>
  <c r="H27" i="1" s="1"/>
  <c r="H26" i="1"/>
  <c r="R25" i="1" s="1"/>
  <c r="H28" i="2" s="1"/>
  <c r="H41" i="1"/>
  <c r="N15" i="1"/>
  <c r="H42" i="1"/>
  <c r="H21" i="2"/>
  <c r="G45" i="1"/>
  <c r="G47" i="1" s="1"/>
  <c r="G48" i="1" s="1"/>
  <c r="G36" i="2" s="1"/>
  <c r="I23" i="2" l="1"/>
  <c r="I15" i="1"/>
  <c r="I16" i="1"/>
  <c r="I24" i="2" s="1"/>
  <c r="H23" i="2"/>
  <c r="H16" i="1"/>
  <c r="H24" i="2" s="1"/>
  <c r="H15" i="1"/>
  <c r="H43" i="1"/>
  <c r="H34" i="2" s="1"/>
  <c r="H47" i="1"/>
  <c r="H48" i="1" s="1"/>
  <c r="H36" i="2" s="1"/>
  <c r="G46" i="1"/>
  <c r="G35" i="2" s="1"/>
  <c r="I42" i="1"/>
  <c r="I43" i="1" s="1"/>
  <c r="I34" i="2" s="1"/>
  <c r="H32" i="3"/>
  <c r="G32" i="3"/>
  <c r="I32" i="3" s="1"/>
  <c r="J32" i="3" s="1"/>
  <c r="F33" i="3"/>
  <c r="I47" i="1"/>
  <c r="I48" i="1" s="1"/>
  <c r="I36" i="2" s="1"/>
  <c r="U14" i="1"/>
  <c r="U15" i="1" s="1"/>
  <c r="U17" i="1" l="1"/>
  <c r="U16" i="1"/>
  <c r="U18" i="1" s="1"/>
  <c r="B5" i="2" s="1"/>
  <c r="F34" i="3"/>
  <c r="G33" i="3"/>
  <c r="I33" i="3" s="1"/>
  <c r="H33" i="3"/>
  <c r="J33" i="3" l="1"/>
  <c r="F35" i="3"/>
  <c r="H34" i="3"/>
  <c r="G34" i="3"/>
  <c r="I34" i="3" s="1"/>
  <c r="J34" i="3" s="1"/>
  <c r="G35" i="3" l="1"/>
  <c r="I35" i="3" s="1"/>
  <c r="J35" i="3" s="1"/>
  <c r="F36" i="3"/>
  <c r="H35" i="3"/>
  <c r="F37" i="3" l="1"/>
  <c r="H36" i="3"/>
  <c r="G36" i="3"/>
  <c r="I36" i="3" s="1"/>
  <c r="J36" i="3" s="1"/>
  <c r="H37" i="3" l="1"/>
  <c r="F38" i="3"/>
  <c r="G37" i="3"/>
  <c r="I37" i="3" s="1"/>
  <c r="J37" i="3" s="1"/>
  <c r="G38" i="3" l="1"/>
  <c r="I38" i="3" s="1"/>
  <c r="H38" i="3"/>
  <c r="F39" i="3"/>
  <c r="H39" i="3" l="1"/>
  <c r="F40" i="3"/>
  <c r="G39" i="3"/>
  <c r="I39" i="3" s="1"/>
  <c r="J39" i="3" s="1"/>
  <c r="J38" i="3"/>
  <c r="H40" i="3" l="1"/>
  <c r="F41" i="3"/>
  <c r="G40" i="3"/>
  <c r="I40" i="3" s="1"/>
  <c r="F42" i="3" l="1"/>
  <c r="H41" i="3"/>
  <c r="G41" i="3"/>
  <c r="I41" i="3" s="1"/>
  <c r="J41" i="3" s="1"/>
  <c r="J40" i="3"/>
  <c r="F43" i="3" l="1"/>
  <c r="G42" i="3"/>
  <c r="I42" i="3" s="1"/>
  <c r="J42" i="3" s="1"/>
  <c r="H42" i="3"/>
  <c r="G43" i="3" l="1"/>
  <c r="I43" i="3" s="1"/>
  <c r="F44" i="3"/>
  <c r="H43" i="3"/>
  <c r="G44" i="3" l="1"/>
  <c r="I44" i="3" s="1"/>
  <c r="J44" i="3" s="1"/>
  <c r="H44" i="3"/>
  <c r="F45" i="3"/>
  <c r="J43" i="3"/>
  <c r="H45" i="3" l="1"/>
  <c r="F46" i="3"/>
  <c r="G45" i="3"/>
  <c r="I45" i="3" s="1"/>
  <c r="J45" i="3" s="1"/>
  <c r="H46" i="3" l="1"/>
  <c r="F47" i="3"/>
  <c r="G46" i="3"/>
  <c r="I46" i="3" s="1"/>
  <c r="J46" i="3" s="1"/>
  <c r="F48" i="3" l="1"/>
  <c r="G47" i="3"/>
  <c r="I47" i="3" s="1"/>
  <c r="H47" i="3"/>
  <c r="J47" i="3" l="1"/>
  <c r="G48" i="3"/>
  <c r="I48" i="3" s="1"/>
  <c r="J48" i="3" s="1"/>
  <c r="H48" i="3"/>
  <c r="F49" i="3"/>
  <c r="G49" i="3" l="1"/>
  <c r="I49" i="3" s="1"/>
  <c r="F50" i="3"/>
  <c r="H49" i="3"/>
  <c r="H50" i="3" l="1"/>
  <c r="F51" i="3"/>
  <c r="G50" i="3"/>
  <c r="I50" i="3" s="1"/>
  <c r="J50" i="3" s="1"/>
  <c r="J49" i="3"/>
  <c r="H51" i="3" l="1"/>
  <c r="F52" i="3"/>
  <c r="G51" i="3"/>
  <c r="I51" i="3" s="1"/>
  <c r="J51" i="3" s="1"/>
  <c r="H52" i="3" l="1"/>
  <c r="F53" i="3"/>
  <c r="G52" i="3"/>
  <c r="I52" i="3" s="1"/>
  <c r="J52" i="3" s="1"/>
  <c r="G53" i="3" l="1"/>
  <c r="I53" i="3" s="1"/>
  <c r="H53" i="3"/>
  <c r="F54" i="3"/>
  <c r="F55" i="3" l="1"/>
  <c r="H54" i="3"/>
  <c r="G54" i="3"/>
  <c r="I54" i="3" s="1"/>
  <c r="J54" i="3" s="1"/>
  <c r="J53" i="3"/>
  <c r="H55" i="3" l="1"/>
  <c r="F56" i="3"/>
  <c r="G55" i="3"/>
  <c r="I55" i="3" s="1"/>
  <c r="J55" i="3" s="1"/>
  <c r="H56" i="3" l="1"/>
  <c r="G56" i="3"/>
  <c r="I56" i="3" s="1"/>
  <c r="J56" i="3" s="1"/>
  <c r="F57" i="3"/>
  <c r="H57" i="3" l="1"/>
  <c r="G57" i="3"/>
  <c r="I57" i="3" s="1"/>
  <c r="J57" i="3" s="1"/>
  <c r="F58" i="3"/>
  <c r="G58" i="3" l="1"/>
  <c r="I58" i="3" s="1"/>
  <c r="J58" i="3" s="1"/>
  <c r="H58" i="3"/>
  <c r="F59" i="3"/>
  <c r="G59" i="3" l="1"/>
  <c r="I59" i="3" s="1"/>
  <c r="J59" i="3" s="1"/>
  <c r="F60" i="3"/>
  <c r="H59" i="3"/>
  <c r="G60" i="3" l="1"/>
  <c r="I60" i="3" s="1"/>
  <c r="J60" i="3" s="1"/>
  <c r="H60" i="3"/>
  <c r="F61" i="3"/>
  <c r="G61" i="3" l="1"/>
  <c r="I61" i="3" s="1"/>
  <c r="J61" i="3" s="1"/>
  <c r="F62" i="3"/>
  <c r="H61" i="3"/>
  <c r="H62" i="3" l="1"/>
  <c r="G62" i="3"/>
  <c r="I62" i="3" s="1"/>
  <c r="J62" i="3" s="1"/>
  <c r="J64" i="3" l="1"/>
  <c r="K29" i="3" l="1"/>
  <c r="K28" i="3"/>
  <c r="K30" i="3"/>
  <c r="K31" i="3"/>
  <c r="K32" i="3"/>
  <c r="K34" i="3"/>
  <c r="K33" i="3"/>
  <c r="K35" i="3"/>
  <c r="K36" i="3"/>
  <c r="K37" i="3"/>
  <c r="K38" i="3"/>
  <c r="K39" i="3"/>
  <c r="K41" i="3"/>
  <c r="K40" i="3"/>
  <c r="K42" i="3"/>
  <c r="K43" i="3"/>
  <c r="K44" i="3"/>
  <c r="K45" i="3"/>
  <c r="K46" i="3"/>
  <c r="K47" i="3"/>
  <c r="K48" i="3"/>
  <c r="K50" i="3"/>
  <c r="K49" i="3"/>
  <c r="K51" i="3"/>
  <c r="K52" i="3"/>
  <c r="K53" i="3"/>
  <c r="K54" i="3"/>
  <c r="K55" i="3"/>
  <c r="K56" i="3"/>
  <c r="K57" i="3"/>
  <c r="K58" i="3"/>
  <c r="K59" i="3"/>
  <c r="K60" i="3"/>
  <c r="K61" i="3"/>
  <c r="K62" i="3"/>
  <c r="L59" i="3" l="1"/>
  <c r="E59" i="3" s="1"/>
  <c r="M59" i="3"/>
  <c r="L55" i="3"/>
  <c r="E55" i="3" s="1"/>
  <c r="M55" i="3"/>
  <c r="M51" i="3"/>
  <c r="L51" i="3"/>
  <c r="E51" i="3" s="1"/>
  <c r="L47" i="3"/>
  <c r="E47" i="3" s="1"/>
  <c r="M47" i="3"/>
  <c r="M43" i="3"/>
  <c r="L43" i="3"/>
  <c r="E43" i="3" s="1"/>
  <c r="M39" i="3"/>
  <c r="L39" i="3"/>
  <c r="E39" i="3" s="1"/>
  <c r="M35" i="3"/>
  <c r="L35" i="3"/>
  <c r="E35" i="3" s="1"/>
  <c r="M31" i="3"/>
  <c r="L31" i="3"/>
  <c r="E31" i="3" s="1"/>
  <c r="M62" i="3"/>
  <c r="L62" i="3"/>
  <c r="E62" i="3" s="1"/>
  <c r="L54" i="3"/>
  <c r="E54" i="3" s="1"/>
  <c r="M54" i="3"/>
  <c r="M49" i="3"/>
  <c r="L49" i="3"/>
  <c r="E49" i="3" s="1"/>
  <c r="M46" i="3"/>
  <c r="L46" i="3"/>
  <c r="E46" i="3" s="1"/>
  <c r="L42" i="3"/>
  <c r="E42" i="3" s="1"/>
  <c r="M42" i="3"/>
  <c r="L38" i="3"/>
  <c r="E38" i="3" s="1"/>
  <c r="M38" i="3"/>
  <c r="M33" i="3"/>
  <c r="L33" i="3"/>
  <c r="E33" i="3" s="1"/>
  <c r="L30" i="3"/>
  <c r="E30" i="3" s="1"/>
  <c r="M30" i="3"/>
  <c r="M61" i="3"/>
  <c r="L61" i="3"/>
  <c r="E61" i="3" s="1"/>
  <c r="M50" i="3"/>
  <c r="L50" i="3"/>
  <c r="E50" i="3" s="1"/>
  <c r="L45" i="3"/>
  <c r="E45" i="3" s="1"/>
  <c r="M45" i="3"/>
  <c r="M40" i="3"/>
  <c r="L40" i="3"/>
  <c r="E40" i="3" s="1"/>
  <c r="L37" i="3"/>
  <c r="M37" i="3"/>
  <c r="M34" i="3"/>
  <c r="L34" i="3"/>
  <c r="L28" i="3"/>
  <c r="M28" i="3"/>
  <c r="L58" i="3"/>
  <c r="E58" i="3" s="1"/>
  <c r="M58" i="3"/>
  <c r="M57" i="3"/>
  <c r="L57" i="3"/>
  <c r="E57" i="3" s="1"/>
  <c r="M53" i="3"/>
  <c r="L53" i="3"/>
  <c r="E53" i="3" s="1"/>
  <c r="M60" i="3"/>
  <c r="L60" i="3"/>
  <c r="E60" i="3" s="1"/>
  <c r="M56" i="3"/>
  <c r="L56" i="3"/>
  <c r="E56" i="3" s="1"/>
  <c r="M52" i="3"/>
  <c r="L52" i="3"/>
  <c r="E52" i="3" s="1"/>
  <c r="M48" i="3"/>
  <c r="L48" i="3"/>
  <c r="E48" i="3" s="1"/>
  <c r="M44" i="3"/>
  <c r="L44" i="3"/>
  <c r="E44" i="3" s="1"/>
  <c r="M41" i="3"/>
  <c r="L41" i="3"/>
  <c r="E41" i="3" s="1"/>
  <c r="L36" i="3"/>
  <c r="M36" i="3"/>
  <c r="L32" i="3"/>
  <c r="E32" i="3" s="1"/>
  <c r="M32" i="3"/>
  <c r="M29" i="3"/>
  <c r="L29" i="3"/>
  <c r="E29" i="3" s="1"/>
  <c r="M64" i="3" l="1"/>
  <c r="F72" i="3" s="1"/>
  <c r="L64" i="3"/>
  <c r="E28" i="3"/>
  <c r="F73" i="3" l="1"/>
  <c r="F71" i="3"/>
  <c r="H72" i="3"/>
  <c r="G72" i="3"/>
  <c r="I72" i="3" s="1"/>
  <c r="J72" i="3" s="1"/>
  <c r="F70" i="3" l="1"/>
  <c r="G71" i="3"/>
  <c r="I71" i="3" s="1"/>
  <c r="J71" i="3" s="1"/>
  <c r="H71" i="3"/>
  <c r="F74" i="3"/>
  <c r="H73" i="3"/>
  <c r="G73" i="3"/>
  <c r="I73" i="3" s="1"/>
  <c r="J73" i="3" s="1"/>
  <c r="H74" i="3" l="1"/>
  <c r="F75" i="3"/>
  <c r="G74" i="3"/>
  <c r="I74" i="3" s="1"/>
  <c r="J74" i="3" s="1"/>
  <c r="F69" i="3"/>
  <c r="H70" i="3"/>
  <c r="G70" i="3"/>
  <c r="I70" i="3" s="1"/>
  <c r="J70" i="3" s="1"/>
  <c r="H69" i="3" l="1"/>
  <c r="G69" i="3"/>
  <c r="I69" i="3" s="1"/>
  <c r="J69" i="3" s="1"/>
  <c r="F68" i="3"/>
  <c r="F76" i="3"/>
  <c r="H75" i="3"/>
  <c r="G75" i="3"/>
  <c r="I75" i="3" s="1"/>
  <c r="J75" i="3" s="1"/>
  <c r="H76" i="3" l="1"/>
  <c r="F77" i="3"/>
  <c r="G76" i="3"/>
  <c r="I76" i="3" s="1"/>
  <c r="J76" i="3" s="1"/>
  <c r="F67" i="3"/>
  <c r="G68" i="3"/>
  <c r="I68" i="3" s="1"/>
  <c r="J68" i="3" s="1"/>
  <c r="H68" i="3"/>
  <c r="G77" i="3" l="1"/>
  <c r="I77" i="3" s="1"/>
  <c r="H77" i="3"/>
  <c r="H67" i="3"/>
  <c r="G67" i="3"/>
  <c r="I67" i="3" s="1"/>
  <c r="J67" i="3" s="1"/>
  <c r="J79" i="3" l="1"/>
  <c r="J77" i="3"/>
  <c r="K77" i="3" l="1"/>
  <c r="K72" i="3"/>
  <c r="K73" i="3"/>
  <c r="K71" i="3"/>
  <c r="K70" i="3"/>
  <c r="K74" i="3"/>
  <c r="K75" i="3"/>
  <c r="K69" i="3"/>
  <c r="K76" i="3"/>
  <c r="K68" i="3"/>
  <c r="K67" i="3"/>
  <c r="L69" i="3" l="1"/>
  <c r="E69" i="3" s="1"/>
  <c r="M69" i="3"/>
  <c r="L71" i="3"/>
  <c r="E71" i="3" s="1"/>
  <c r="M71" i="3"/>
  <c r="M67" i="3"/>
  <c r="L67" i="3"/>
  <c r="L75" i="3"/>
  <c r="E75" i="3" s="1"/>
  <c r="M75" i="3"/>
  <c r="M73" i="3"/>
  <c r="L73" i="3"/>
  <c r="E73" i="3" s="1"/>
  <c r="L72" i="3"/>
  <c r="E72" i="3" s="1"/>
  <c r="M72" i="3"/>
  <c r="L68" i="3"/>
  <c r="E68" i="3" s="1"/>
  <c r="M68" i="3"/>
  <c r="L74" i="3"/>
  <c r="E74" i="3" s="1"/>
  <c r="M74" i="3"/>
  <c r="L76" i="3"/>
  <c r="E76" i="3" s="1"/>
  <c r="M76" i="3"/>
  <c r="L70" i="3"/>
  <c r="E70" i="3" s="1"/>
  <c r="M70" i="3"/>
  <c r="M77" i="3"/>
  <c r="L77" i="3"/>
  <c r="E77" i="3" s="1"/>
  <c r="E67" i="3" l="1"/>
  <c r="E79" i="3" s="1"/>
  <c r="L79" i="3"/>
  <c r="D34" i="3" s="1"/>
  <c r="C35" i="3" s="1"/>
  <c r="M79" i="3"/>
  <c r="D37" i="3" s="1"/>
</calcChain>
</file>

<file path=xl/sharedStrings.xml><?xml version="1.0" encoding="utf-8"?>
<sst xmlns="http://schemas.openxmlformats.org/spreadsheetml/2006/main" count="232" uniqueCount="188">
  <si>
    <t>Date</t>
  </si>
  <si>
    <t xml:space="preserve"> </t>
  </si>
  <si>
    <t>Hull Registration Number</t>
  </si>
  <si>
    <t>NB - Measurer</t>
  </si>
  <si>
    <t>RIG/SAIL GROUPS</t>
  </si>
  <si>
    <t>A</t>
  </si>
  <si>
    <t>B</t>
  </si>
  <si>
    <t>C</t>
  </si>
  <si>
    <t>(bold boxes = 'measurements', others = calculations)</t>
  </si>
  <si>
    <t>G</t>
  </si>
  <si>
    <r>
      <t xml:space="preserve">Height - deck </t>
    </r>
    <r>
      <rPr>
        <b/>
        <sz val="11"/>
        <rFont val="Arial"/>
        <family val="2"/>
      </rPr>
      <t>limit mark</t>
    </r>
    <r>
      <rPr>
        <sz val="11"/>
        <rFont val="Arial"/>
        <family val="2"/>
      </rPr>
      <t xml:space="preserve"> to </t>
    </r>
    <r>
      <rPr>
        <b/>
        <sz val="11"/>
        <rFont val="Arial"/>
        <family val="2"/>
      </rPr>
      <t>lower point</t>
    </r>
  </si>
  <si>
    <r>
      <t xml:space="preserve">Height - deck </t>
    </r>
    <r>
      <rPr>
        <b/>
        <sz val="11"/>
        <rFont val="Arial"/>
        <family val="2"/>
      </rPr>
      <t>limit mark</t>
    </r>
    <r>
      <rPr>
        <sz val="11"/>
        <rFont val="Arial"/>
        <family val="2"/>
      </rPr>
      <t xml:space="preserve"> to </t>
    </r>
    <r>
      <rPr>
        <b/>
        <sz val="11"/>
        <rFont val="Arial"/>
        <family val="2"/>
      </rPr>
      <t xml:space="preserve">upper point   </t>
    </r>
    <r>
      <rPr>
        <sz val="11"/>
        <rFont val="Arial"/>
        <family val="2"/>
      </rPr>
      <t>(A + G)</t>
    </r>
  </si>
  <si>
    <t>(max 2160)</t>
  </si>
  <si>
    <t>I</t>
  </si>
  <si>
    <r>
      <t xml:space="preserve">Height - deck </t>
    </r>
    <r>
      <rPr>
        <b/>
        <sz val="11"/>
        <rFont val="Arial"/>
        <family val="2"/>
      </rPr>
      <t>limit mark</t>
    </r>
    <r>
      <rPr>
        <sz val="11"/>
        <rFont val="Arial"/>
        <family val="2"/>
      </rPr>
      <t xml:space="preserve"> to lower edge of forestay </t>
    </r>
    <r>
      <rPr>
        <b/>
        <sz val="11"/>
        <rFont val="Arial"/>
        <family val="2"/>
      </rPr>
      <t>limit mark</t>
    </r>
  </si>
  <si>
    <t>0.8 x (A + G)</t>
  </si>
  <si>
    <r>
      <t>Luff perpendicular</t>
    </r>
    <r>
      <rPr>
        <sz val="11"/>
        <rFont val="Arial"/>
        <family val="2"/>
      </rPr>
      <t xml:space="preserve"> - from </t>
    </r>
    <r>
      <rPr>
        <b/>
        <sz val="11"/>
        <rFont val="Arial"/>
        <family val="2"/>
      </rPr>
      <t xml:space="preserve">clew point </t>
    </r>
    <r>
      <rPr>
        <sz val="11"/>
        <rFont val="Arial"/>
        <family val="2"/>
      </rPr>
      <t xml:space="preserve">to </t>
    </r>
    <r>
      <rPr>
        <b/>
        <sz val="11"/>
        <rFont val="Arial"/>
        <family val="2"/>
      </rPr>
      <t>luff</t>
    </r>
  </si>
  <si>
    <t>(NB G.2.5 (b))</t>
  </si>
  <si>
    <t>Quarter width</t>
  </si>
  <si>
    <r>
      <t xml:space="preserve">Maximum </t>
    </r>
    <r>
      <rPr>
        <b/>
        <sz val="11"/>
        <rFont val="Arial"/>
        <family val="2"/>
      </rPr>
      <t>quarter width</t>
    </r>
    <r>
      <rPr>
        <sz val="11"/>
        <rFont val="Arial"/>
        <family val="2"/>
      </rPr>
      <t xml:space="preserve"> without penalty</t>
    </r>
  </si>
  <si>
    <t>(3/4 B + 63)</t>
  </si>
  <si>
    <t>X</t>
  </si>
  <si>
    <r>
      <t xml:space="preserve">Excess of measured </t>
    </r>
    <r>
      <rPr>
        <b/>
        <sz val="11"/>
        <rFont val="Arial"/>
        <family val="2"/>
      </rPr>
      <t>quarter width</t>
    </r>
  </si>
  <si>
    <t>Half width</t>
  </si>
  <si>
    <r>
      <t xml:space="preserve">Maximum </t>
    </r>
    <r>
      <rPr>
        <b/>
        <sz val="11"/>
        <rFont val="Arial"/>
        <family val="2"/>
      </rPr>
      <t>half width</t>
    </r>
    <r>
      <rPr>
        <sz val="11"/>
        <rFont val="Arial"/>
        <family val="2"/>
      </rPr>
      <t xml:space="preserve"> without penalty</t>
    </r>
  </si>
  <si>
    <t>(1/2 B + 72)</t>
  </si>
  <si>
    <t>Y</t>
  </si>
  <si>
    <r>
      <t xml:space="preserve">Excess of measured </t>
    </r>
    <r>
      <rPr>
        <b/>
        <sz val="11"/>
        <rFont val="Arial"/>
        <family val="2"/>
      </rPr>
      <t>half width</t>
    </r>
  </si>
  <si>
    <t>Three-quarter width</t>
  </si>
  <si>
    <r>
      <t xml:space="preserve">Maximum </t>
    </r>
    <r>
      <rPr>
        <b/>
        <sz val="11"/>
        <rFont val="Arial"/>
        <family val="2"/>
      </rPr>
      <t>three-quarter width</t>
    </r>
    <r>
      <rPr>
        <sz val="11"/>
        <rFont val="Arial"/>
        <family val="2"/>
      </rPr>
      <t xml:space="preserve"> without penalty</t>
    </r>
  </si>
  <si>
    <t>(1/4 B + 72)</t>
  </si>
  <si>
    <t>Z</t>
  </si>
  <si>
    <r>
      <t xml:space="preserve">Excess of measured </t>
    </r>
    <r>
      <rPr>
        <b/>
        <sz val="11"/>
        <rFont val="Arial"/>
        <family val="2"/>
      </rPr>
      <t>three-quarter width</t>
    </r>
  </si>
  <si>
    <t>Q</t>
  </si>
  <si>
    <t>Luff length</t>
  </si>
  <si>
    <t>R</t>
  </si>
  <si>
    <r>
      <t>Width - l</t>
    </r>
    <r>
      <rPr>
        <b/>
        <sz val="11"/>
        <rFont val="Arial"/>
        <family val="2"/>
      </rPr>
      <t>uff perpendicular</t>
    </r>
    <r>
      <rPr>
        <sz val="11"/>
        <rFont val="Arial"/>
        <family val="2"/>
      </rPr>
      <t xml:space="preserve"> - from </t>
    </r>
    <r>
      <rPr>
        <b/>
        <sz val="11"/>
        <rFont val="Arial"/>
        <family val="2"/>
      </rPr>
      <t xml:space="preserve">clew point </t>
    </r>
    <r>
      <rPr>
        <sz val="11"/>
        <rFont val="Arial"/>
        <family val="2"/>
      </rPr>
      <t xml:space="preserve">to </t>
    </r>
    <r>
      <rPr>
        <b/>
        <sz val="11"/>
        <rFont val="Arial"/>
        <family val="2"/>
      </rPr>
      <t>luff</t>
    </r>
  </si>
  <si>
    <t>(3/4 R + 55)</t>
  </si>
  <si>
    <t>x</t>
  </si>
  <si>
    <r>
      <t xml:space="preserve">Maximum </t>
    </r>
    <r>
      <rPr>
        <b/>
        <sz val="11"/>
        <rFont val="Arial"/>
        <family val="2"/>
      </rPr>
      <t xml:space="preserve">half width </t>
    </r>
    <r>
      <rPr>
        <sz val="11"/>
        <rFont val="Arial"/>
        <family val="2"/>
      </rPr>
      <t>without penalty</t>
    </r>
  </si>
  <si>
    <t>(1/2 R + 60)</t>
  </si>
  <si>
    <t>y</t>
  </si>
  <si>
    <t>(1/4 R + 60)</t>
  </si>
  <si>
    <t>z</t>
  </si>
  <si>
    <t>M1</t>
  </si>
  <si>
    <t>Mainsail triangular area</t>
  </si>
  <si>
    <t>M2</t>
  </si>
  <si>
    <t>Mainsail excess area</t>
  </si>
  <si>
    <t>(maximum 516149)</t>
  </si>
  <si>
    <t>DECLARATION BY THE MEASURER</t>
  </si>
  <si>
    <t>strike through any un-used columns</t>
  </si>
  <si>
    <t>I confirm that I have taken the measurements on this form and that they are correctly recorded on this form.</t>
  </si>
  <si>
    <t xml:space="preserve">Measurer's Name </t>
  </si>
  <si>
    <t xml:space="preserve">Officially recognised by </t>
  </si>
  <si>
    <t>(BLOCK CAPITALS)</t>
  </si>
  <si>
    <t>Signature</t>
  </si>
  <si>
    <r>
      <t xml:space="preserve">This </t>
    </r>
    <r>
      <rPr>
        <b/>
        <i/>
        <sz val="9"/>
        <rFont val="Arial"/>
        <family val="2"/>
      </rPr>
      <t>certificate</t>
    </r>
    <r>
      <rPr>
        <i/>
        <sz val="9"/>
        <rFont val="Arial"/>
        <family val="2"/>
      </rPr>
      <t xml:space="preserve"> is not valid until signed and stamped by the </t>
    </r>
    <r>
      <rPr>
        <b/>
        <i/>
        <sz val="9"/>
        <rFont val="Arial"/>
        <family val="2"/>
      </rPr>
      <t>certification authority</t>
    </r>
    <r>
      <rPr>
        <i/>
        <sz val="9"/>
        <rFont val="Arial"/>
        <family val="2"/>
      </rPr>
      <t>.</t>
    </r>
  </si>
  <si>
    <t>NB certification authority</t>
  </si>
  <si>
    <t>Boat's Name</t>
  </si>
  <si>
    <t>Owner's Name</t>
  </si>
  <si>
    <t>Design's Name</t>
  </si>
  <si>
    <t>Designer's Name</t>
  </si>
  <si>
    <t xml:space="preserve">Certification Authority       </t>
  </si>
  <si>
    <t>Certification Authority</t>
  </si>
  <si>
    <t>SAIL MEASUREMENT GROUPS</t>
  </si>
  <si>
    <t>MAST</t>
  </si>
  <si>
    <r>
      <t xml:space="preserve">Distance - </t>
    </r>
    <r>
      <rPr>
        <b/>
        <sz val="11"/>
        <rFont val="Arial"/>
        <family val="2"/>
      </rPr>
      <t>upper</t>
    </r>
    <r>
      <rPr>
        <sz val="11"/>
        <rFont val="Arial"/>
        <family val="2"/>
      </rPr>
      <t xml:space="preserve"> to </t>
    </r>
    <r>
      <rPr>
        <b/>
        <sz val="11"/>
        <rFont val="Arial"/>
        <family val="2"/>
      </rPr>
      <t>lower limit marks</t>
    </r>
  </si>
  <si>
    <r>
      <t>Deck</t>
    </r>
    <r>
      <rPr>
        <b/>
        <sz val="11"/>
        <rFont val="Arial"/>
        <family val="2"/>
      </rPr>
      <t xml:space="preserve"> limit mark </t>
    </r>
    <r>
      <rPr>
        <sz val="11"/>
        <rFont val="Arial"/>
        <family val="2"/>
      </rPr>
      <t>to</t>
    </r>
    <r>
      <rPr>
        <b/>
        <sz val="11"/>
        <rFont val="Arial"/>
        <family val="2"/>
      </rPr>
      <t xml:space="preserve"> lower point </t>
    </r>
  </si>
  <si>
    <r>
      <t>Deck</t>
    </r>
    <r>
      <rPr>
        <b/>
        <sz val="11"/>
        <rFont val="Arial"/>
        <family val="2"/>
      </rPr>
      <t xml:space="preserve"> limit mark </t>
    </r>
    <r>
      <rPr>
        <sz val="11"/>
        <rFont val="Arial"/>
        <family val="2"/>
      </rPr>
      <t>to</t>
    </r>
    <r>
      <rPr>
        <b/>
        <sz val="11"/>
        <rFont val="Arial"/>
        <family val="2"/>
      </rPr>
      <t xml:space="preserve"> upper point</t>
    </r>
  </si>
  <si>
    <r>
      <t>Deck</t>
    </r>
    <r>
      <rPr>
        <b/>
        <sz val="11"/>
        <rFont val="Arial"/>
        <family val="2"/>
      </rPr>
      <t xml:space="preserve"> limit mark </t>
    </r>
    <r>
      <rPr>
        <sz val="11"/>
        <rFont val="Arial"/>
        <family val="2"/>
      </rPr>
      <t>to lower edge of forestay</t>
    </r>
    <r>
      <rPr>
        <b/>
        <sz val="11"/>
        <rFont val="Arial"/>
        <family val="2"/>
      </rPr>
      <t xml:space="preserve"> limit mark</t>
    </r>
  </si>
  <si>
    <t>MAINSAIL</t>
  </si>
  <si>
    <t>Luff Perpendicular</t>
  </si>
  <si>
    <t>Quarter Width</t>
  </si>
  <si>
    <t>Half Width</t>
  </si>
  <si>
    <t>Three-Quarter Width</t>
  </si>
  <si>
    <t>Luff Length</t>
  </si>
  <si>
    <r>
      <t xml:space="preserve">Width - </t>
    </r>
    <r>
      <rPr>
        <b/>
        <sz val="11"/>
        <rFont val="Arial"/>
        <family val="2"/>
      </rPr>
      <t>Luff Perpendicular</t>
    </r>
  </si>
  <si>
    <t>Measured Sail Area (m^2)</t>
  </si>
  <si>
    <t>CHANGE OF OWNERSHIP</t>
  </si>
  <si>
    <t>New Owner's Name</t>
  </si>
  <si>
    <t>New Owner's Signature</t>
  </si>
  <si>
    <t>Address</t>
  </si>
  <si>
    <r>
      <t xml:space="preserve">1. This </t>
    </r>
    <r>
      <rPr>
        <b/>
        <i/>
        <sz val="9"/>
        <rFont val="Arial"/>
        <family val="2"/>
      </rPr>
      <t>certificate</t>
    </r>
    <r>
      <rPr>
        <i/>
        <sz val="9"/>
        <rFont val="Arial"/>
        <family val="2"/>
      </rPr>
      <t xml:space="preserve"> ceases to be valid upon change of ownership.</t>
    </r>
  </si>
  <si>
    <r>
      <t xml:space="preserve">2. After completion of this section the new owner shall return this </t>
    </r>
    <r>
      <rPr>
        <b/>
        <i/>
        <sz val="9"/>
        <rFont val="Arial"/>
        <family val="2"/>
      </rPr>
      <t>certificate</t>
    </r>
    <r>
      <rPr>
        <i/>
        <sz val="9"/>
        <rFont val="Arial"/>
        <family val="2"/>
      </rPr>
      <t xml:space="preserve"> to the </t>
    </r>
    <r>
      <rPr>
        <b/>
        <i/>
        <sz val="9"/>
        <rFont val="Arial"/>
        <family val="2"/>
      </rPr>
      <t>certification authority.</t>
    </r>
  </si>
  <si>
    <t>New certificate issued          YES      NO </t>
  </si>
  <si>
    <t>for checks</t>
  </si>
  <si>
    <t>boat name</t>
  </si>
  <si>
    <t>owner name</t>
  </si>
  <si>
    <t>design name</t>
  </si>
  <si>
    <t>designer name</t>
  </si>
  <si>
    <t>date today</t>
  </si>
  <si>
    <t>boat number</t>
  </si>
  <si>
    <t>for rounding and calculation</t>
  </si>
  <si>
    <t>H</t>
  </si>
  <si>
    <t>Section H – Measurement</t>
  </si>
  <si>
    <t>MEASUREMENTS AND CALCULATIONS</t>
  </si>
  <si>
    <r>
      <t xml:space="preserve">Maximum and minimum values of limitations in the </t>
    </r>
    <r>
      <rPr>
        <b/>
        <sz val="12"/>
        <color indexed="8"/>
        <rFont val="Arial"/>
        <family val="2"/>
      </rPr>
      <t>class rules</t>
    </r>
    <r>
      <rPr>
        <sz val="12"/>
        <color indexed="8"/>
        <rFont val="Arial"/>
        <family val="2"/>
      </rPr>
      <t xml:space="preserve"> or </t>
    </r>
    <r>
      <rPr>
        <b/>
        <sz val="12"/>
        <color indexed="8"/>
        <rFont val="Arial"/>
        <family val="2"/>
      </rPr>
      <t>certificate</t>
    </r>
    <r>
      <rPr>
        <sz val="12"/>
        <color indexed="8"/>
        <rFont val="Arial"/>
        <family val="2"/>
      </rPr>
      <t xml:space="preserve"> shall be taken as absolute limiting values.</t>
    </r>
  </si>
  <si>
    <t>cross widths for certificate</t>
  </si>
  <si>
    <t>F.2.2</t>
  </si>
  <si>
    <t>MEASUREMENT</t>
  </si>
  <si>
    <t>(a)</t>
  </si>
  <si>
    <t>I.5 COMBINED BOOM SPAR CROSS SECTION</t>
  </si>
  <si>
    <t>See rule F.3.4</t>
  </si>
  <si>
    <t>Calculation of combined boom spar cross section</t>
  </si>
  <si>
    <t>angle of section to axis of major spar</t>
  </si>
  <si>
    <t>angle of section to axis of joining spar</t>
  </si>
  <si>
    <t>section length on major spar</t>
  </si>
  <si>
    <t>section length on joining spar</t>
  </si>
  <si>
    <t>combined boom spar cross section</t>
  </si>
  <si>
    <t>logic test</t>
  </si>
  <si>
    <t>min value of combined boom spar cross section - approx</t>
  </si>
  <si>
    <t>angle of section to axis of major spar for minimum combined value</t>
  </si>
  <si>
    <t>MINIMUM COMBINED BOOM SPAR CROSS SECTION</t>
  </si>
  <si>
    <t>degrees</t>
  </si>
  <si>
    <t>mm</t>
  </si>
  <si>
    <t xml:space="preserve">MINIMUM COMBINED BOOM SPAR CROSS SECTION </t>
  </si>
  <si>
    <t>found at this angle to major spar</t>
  </si>
  <si>
    <t>NB - Competitor - Race Committee</t>
  </si>
  <si>
    <t>Measured values shall be rounded up to the nearest whole number before recording.</t>
  </si>
  <si>
    <t>designer's name</t>
  </si>
  <si>
    <t>owner's name</t>
  </si>
  <si>
    <t>HEADSAIL</t>
  </si>
  <si>
    <r>
      <t>MAST</t>
    </r>
    <r>
      <rPr>
        <i/>
        <sz val="12"/>
        <color indexed="9"/>
        <rFont val="Arial"/>
        <family val="2"/>
      </rPr>
      <t xml:space="preserve"> - C.6.3</t>
    </r>
  </si>
  <si>
    <r>
      <t xml:space="preserve">MAINSAIL </t>
    </r>
    <r>
      <rPr>
        <i/>
        <sz val="12"/>
        <color indexed="9"/>
        <rFont val="Arial"/>
        <family val="2"/>
      </rPr>
      <t>- G.7.2 and I.7</t>
    </r>
  </si>
  <si>
    <r>
      <t>HEADSAIL</t>
    </r>
    <r>
      <rPr>
        <i/>
        <sz val="12"/>
        <color indexed="9"/>
        <rFont val="Arial"/>
        <family val="2"/>
      </rPr>
      <t xml:space="preserve"> - C.7.2 and I.7</t>
    </r>
  </si>
  <si>
    <r>
      <t xml:space="preserve">SAIL AREA </t>
    </r>
    <r>
      <rPr>
        <i/>
        <sz val="12"/>
        <color indexed="9"/>
        <rFont val="Arial"/>
        <family val="2"/>
      </rPr>
      <t>- G.3</t>
    </r>
  </si>
  <si>
    <r>
      <t xml:space="preserve">3. On receipt of a </t>
    </r>
    <r>
      <rPr>
        <b/>
        <i/>
        <sz val="9"/>
        <rFont val="Arial"/>
        <family val="2"/>
      </rPr>
      <t>certificate</t>
    </r>
    <r>
      <rPr>
        <i/>
        <sz val="9"/>
        <rFont val="Arial"/>
        <family val="2"/>
      </rPr>
      <t xml:space="preserve"> correctly completed by a new owner the </t>
    </r>
    <r>
      <rPr>
        <b/>
        <i/>
        <sz val="9"/>
        <rFont val="Arial"/>
        <family val="2"/>
      </rPr>
      <t>certification authority</t>
    </r>
    <r>
      <rPr>
        <i/>
        <sz val="9"/>
        <rFont val="Arial"/>
        <family val="2"/>
      </rPr>
      <t xml:space="preserve"> may issue a new </t>
    </r>
    <r>
      <rPr>
        <b/>
        <i/>
        <sz val="9"/>
        <rFont val="Arial"/>
        <family val="2"/>
      </rPr>
      <t>certificate.</t>
    </r>
  </si>
  <si>
    <t>H1</t>
  </si>
  <si>
    <t>H2</t>
  </si>
  <si>
    <t>Sum of M1 + M2 + H1 + H2 (mm^2)</t>
  </si>
  <si>
    <r>
      <t xml:space="preserve">Distance between </t>
    </r>
    <r>
      <rPr>
        <b/>
        <sz val="11"/>
        <rFont val="Arial"/>
        <family val="2"/>
      </rPr>
      <t xml:space="preserve">upper point </t>
    </r>
    <r>
      <rPr>
        <sz val="11"/>
        <rFont val="Arial"/>
        <family val="2"/>
      </rPr>
      <t xml:space="preserve">and </t>
    </r>
    <r>
      <rPr>
        <b/>
        <sz val="11"/>
        <rFont val="Arial"/>
        <family val="2"/>
      </rPr>
      <t>lower point</t>
    </r>
    <r>
      <rPr>
        <sz val="11"/>
        <rFont val="Arial"/>
        <family val="2"/>
      </rPr>
      <t xml:space="preserve">                                                         </t>
    </r>
    <r>
      <rPr>
        <i/>
        <sz val="9"/>
        <rFont val="Arial"/>
        <family val="2"/>
      </rPr>
      <t>( A Dimensions for RIGS A, B &amp; C shall be in descending order - see G.3.1 (b) )</t>
    </r>
  </si>
  <si>
    <t>IRSA - WORLD RADIO SAILING</t>
  </si>
  <si>
    <t xml:space="preserve">   (this is not a certificate)</t>
  </si>
  <si>
    <t xml:space="preserve">H.1  </t>
  </si>
  <si>
    <t>H.1.1</t>
  </si>
  <si>
    <t>H.1.2</t>
  </si>
  <si>
    <t>H.1.3</t>
  </si>
  <si>
    <t>H.1.4</t>
  </si>
  <si>
    <r>
      <t xml:space="preserve">A </t>
    </r>
    <r>
      <rPr>
        <sz val="8"/>
        <rFont val="Arial"/>
        <family val="2"/>
      </rPr>
      <t>x</t>
    </r>
    <r>
      <rPr>
        <sz val="11"/>
        <rFont val="Arial"/>
        <family val="2"/>
      </rPr>
      <t xml:space="preserve"> B / 2</t>
    </r>
  </si>
  <si>
    <r>
      <t xml:space="preserve">A </t>
    </r>
    <r>
      <rPr>
        <sz val="8"/>
        <rFont val="Arial"/>
        <family val="2"/>
      </rPr>
      <t>x</t>
    </r>
    <r>
      <rPr>
        <sz val="11"/>
        <rFont val="Arial"/>
        <family val="2"/>
      </rPr>
      <t xml:space="preserve"> (2 X + Y + 2 Z) / 6</t>
    </r>
  </si>
  <si>
    <r>
      <t xml:space="preserve">Q </t>
    </r>
    <r>
      <rPr>
        <sz val="8"/>
        <rFont val="Arial"/>
        <family val="2"/>
      </rPr>
      <t>x</t>
    </r>
    <r>
      <rPr>
        <sz val="11"/>
        <rFont val="Arial"/>
        <family val="2"/>
      </rPr>
      <t xml:space="preserve"> R / 2</t>
    </r>
  </si>
  <si>
    <r>
      <t xml:space="preserve">Q </t>
    </r>
    <r>
      <rPr>
        <sz val="8"/>
        <rFont val="Arial"/>
        <family val="2"/>
      </rPr>
      <t>x</t>
    </r>
    <r>
      <rPr>
        <sz val="11"/>
        <rFont val="Arial"/>
        <family val="2"/>
      </rPr>
      <t xml:space="preserve"> (2 x + y + 2 z) / 6</t>
    </r>
  </si>
  <si>
    <t>(a) (3)</t>
  </si>
  <si>
    <t>official validity check</t>
  </si>
  <si>
    <t>G may vary by ± 10.  All other linear dimensions are absolute maximum values.</t>
  </si>
  <si>
    <t>NB    H shall not exceed 2160. H &amp; I are maximum values when G is at the certified value.</t>
  </si>
  <si>
    <r>
      <t xml:space="preserve">Linear measurements shall be taken in millimetres and rounded up to the nearest whole number before being recorded on the </t>
    </r>
    <r>
      <rPr>
        <b/>
        <sz val="12"/>
        <color indexed="8"/>
        <rFont val="Arial"/>
        <family val="2"/>
      </rPr>
      <t>certificate</t>
    </r>
    <r>
      <rPr>
        <sz val="12"/>
        <color indexed="8"/>
        <rFont val="Arial"/>
        <family val="2"/>
      </rPr>
      <t>, used in subsequent calculations or compared with a limiting value.</t>
    </r>
  </si>
  <si>
    <t>(WS Member National Authority)</t>
  </si>
  <si>
    <r>
      <t xml:space="preserve">Calculated values in square metres shall be rounded to the nearest fourth place of decimals before recording on the </t>
    </r>
    <r>
      <rPr>
        <b/>
        <sz val="12"/>
        <color indexed="8"/>
        <rFont val="Arial"/>
        <family val="2"/>
      </rPr>
      <t>certificate</t>
    </r>
    <r>
      <rPr>
        <sz val="12"/>
        <color indexed="8"/>
        <rFont val="Arial"/>
        <family val="2"/>
      </rPr>
      <t>.</t>
    </r>
  </si>
  <si>
    <t xml:space="preserve">Calculated values shall be rounded to the nearest whole number before recording. </t>
  </si>
  <si>
    <t>Values used in subsequent calculations shall be the rounded recorded values.</t>
  </si>
  <si>
    <r>
      <t xml:space="preserve">This </t>
    </r>
    <r>
      <rPr>
        <b/>
        <i/>
        <sz val="9"/>
        <rFont val="Arial"/>
        <family val="2"/>
      </rPr>
      <t>certificate</t>
    </r>
    <r>
      <rPr>
        <i/>
        <sz val="9"/>
        <rFont val="Arial"/>
        <family val="2"/>
      </rPr>
      <t xml:space="preserve"> indicates that the</t>
    </r>
    <r>
      <rPr>
        <b/>
        <i/>
        <sz val="9"/>
        <rFont val="Arial"/>
        <family val="2"/>
      </rPr>
      <t xml:space="preserve"> boat</t>
    </r>
    <r>
      <rPr>
        <i/>
        <sz val="9"/>
        <rFont val="Arial"/>
        <family val="2"/>
      </rPr>
      <t xml:space="preserve"> complied with Sections D, E, F, G &amp; H of the </t>
    </r>
    <r>
      <rPr>
        <b/>
        <i/>
        <sz val="9"/>
        <rFont val="Arial"/>
        <family val="2"/>
      </rPr>
      <t>class rules</t>
    </r>
    <r>
      <rPr>
        <i/>
        <sz val="9"/>
        <rFont val="Arial"/>
        <family val="2"/>
      </rPr>
      <t xml:space="preserve"> at the time of </t>
    </r>
    <r>
      <rPr>
        <b/>
        <i/>
        <sz val="9"/>
        <rFont val="Arial"/>
        <family val="2"/>
      </rPr>
      <t>certification control</t>
    </r>
    <r>
      <rPr>
        <i/>
        <sz val="9"/>
        <rFont val="Arial"/>
        <family val="2"/>
      </rPr>
      <t xml:space="preserve">. Compliance with Section C of the </t>
    </r>
    <r>
      <rPr>
        <b/>
        <i/>
        <sz val="9"/>
        <rFont val="Arial"/>
        <family val="2"/>
      </rPr>
      <t xml:space="preserve">class rules </t>
    </r>
    <r>
      <rPr>
        <i/>
        <sz val="9"/>
        <rFont val="Arial"/>
        <family val="2"/>
      </rPr>
      <t>and Appendix E of the RRS has not been checked.</t>
    </r>
  </si>
  <si>
    <t xml:space="preserve">Date </t>
  </si>
  <si>
    <t>Cells in this colour are un-protected for translation</t>
  </si>
  <si>
    <t>Warning messages in the rows to the left indicate the rigs/sails do not comply with the class rules and/or the measurement data contains errors and that the certificate will be invalid.</t>
  </si>
  <si>
    <t>Headsail triangular area</t>
  </si>
  <si>
    <t>Headsail excess area</t>
  </si>
  <si>
    <t>Mainsail Area</t>
  </si>
  <si>
    <t>Headsail Area</t>
  </si>
  <si>
    <t>Headsail measured area for rig/sail group</t>
  </si>
  <si>
    <t>Mainsail measured area for rig/sail group</t>
  </si>
  <si>
    <t>M1 + M2   (m^2)</t>
  </si>
  <si>
    <t>H1 + H2   (m^2)</t>
  </si>
  <si>
    <t>Mainsail Measured Area (m^2)</t>
  </si>
  <si>
    <t>Headsail Measured Area (m^2)</t>
  </si>
  <si>
    <t>MEASURED SAIL AREA</t>
  </si>
  <si>
    <t xml:space="preserve">MEASURED SAIL AREA for Rig/Sail Group </t>
  </si>
  <si>
    <t>(rounded maximum 0.5161 m^2)</t>
  </si>
  <si>
    <r>
      <t xml:space="preserve">Calculated values in millimetres or square millimetres shall be rounded to the nearest whole number before being recorded on a </t>
    </r>
    <r>
      <rPr>
        <b/>
        <sz val="12"/>
        <color indexed="8"/>
        <rFont val="Arial"/>
        <family val="2"/>
      </rPr>
      <t>certification control</t>
    </r>
    <r>
      <rPr>
        <sz val="12"/>
        <color indexed="8"/>
        <rFont val="Arial"/>
        <family val="2"/>
      </rPr>
      <t xml:space="preserve"> form or </t>
    </r>
    <r>
      <rPr>
        <b/>
        <sz val="12"/>
        <color indexed="8"/>
        <rFont val="Arial"/>
        <family val="2"/>
      </rPr>
      <t>certificate</t>
    </r>
    <r>
      <rPr>
        <sz val="12"/>
        <color indexed="8"/>
        <rFont val="Arial"/>
        <family val="2"/>
      </rPr>
      <t xml:space="preserve">, used in any subsequent calculations or compared with any limitation in the </t>
    </r>
    <r>
      <rPr>
        <b/>
        <sz val="12"/>
        <color indexed="8"/>
        <rFont val="Arial"/>
        <family val="2"/>
      </rPr>
      <t>class rules</t>
    </r>
    <r>
      <rPr>
        <sz val="12"/>
        <color indexed="8"/>
        <rFont val="Arial"/>
        <family val="2"/>
      </rPr>
      <t xml:space="preserve"> or </t>
    </r>
    <r>
      <rPr>
        <b/>
        <sz val="12"/>
        <color indexed="8"/>
        <rFont val="Arial"/>
        <family val="2"/>
      </rPr>
      <t>certificate</t>
    </r>
    <r>
      <rPr>
        <sz val="12"/>
        <color indexed="8"/>
        <rFont val="Arial"/>
        <family val="2"/>
      </rPr>
      <t>.</t>
    </r>
  </si>
  <si>
    <r>
      <t xml:space="preserve">The </t>
    </r>
    <r>
      <rPr>
        <b/>
        <sz val="12"/>
        <color indexed="8"/>
        <rFont val="Arial"/>
        <family val="2"/>
      </rPr>
      <t xml:space="preserve">mast </t>
    </r>
    <r>
      <rPr>
        <u/>
        <sz val="12"/>
        <color indexed="8"/>
        <rFont val="Arial"/>
        <family val="2"/>
      </rPr>
      <t>spar</t>
    </r>
    <r>
      <rPr>
        <sz val="12"/>
        <color indexed="8"/>
        <rFont val="Arial"/>
        <family val="2"/>
      </rPr>
      <t xml:space="preserve">, </t>
    </r>
    <r>
      <rPr>
        <b/>
        <sz val="12"/>
        <color indexed="8"/>
        <rFont val="Arial"/>
        <family val="2"/>
      </rPr>
      <t xml:space="preserve">boom </t>
    </r>
    <r>
      <rPr>
        <u/>
        <sz val="12"/>
        <color indexed="8"/>
        <rFont val="Arial"/>
        <family val="2"/>
      </rPr>
      <t>spar</t>
    </r>
    <r>
      <rPr>
        <sz val="12"/>
        <color indexed="8"/>
        <rFont val="Arial"/>
        <family val="2"/>
      </rPr>
      <t xml:space="preserve"> and </t>
    </r>
    <r>
      <rPr>
        <b/>
        <sz val="12"/>
        <color indexed="8"/>
        <rFont val="Arial"/>
        <family val="2"/>
      </rPr>
      <t>headsail luff</t>
    </r>
    <r>
      <rPr>
        <sz val="12"/>
        <color indexed="8"/>
        <rFont val="Arial"/>
        <family val="2"/>
      </rPr>
      <t xml:space="preserve"> </t>
    </r>
    <r>
      <rPr>
        <u/>
        <sz val="12"/>
        <color indexed="8"/>
        <rFont val="Arial"/>
        <family val="2"/>
      </rPr>
      <t>spar</t>
    </r>
    <r>
      <rPr>
        <sz val="12"/>
        <color indexed="8"/>
        <rFont val="Arial"/>
        <family val="2"/>
      </rPr>
      <t xml:space="preserve"> cross section:</t>
    </r>
  </si>
  <si>
    <r>
      <t xml:space="preserve">shall be taken at the junction of two </t>
    </r>
    <r>
      <rPr>
        <b/>
        <sz val="12"/>
        <color indexed="8"/>
        <rFont val="Arial"/>
        <family val="2"/>
      </rPr>
      <t>boom</t>
    </r>
    <r>
      <rPr>
        <sz val="12"/>
        <color indexed="8"/>
        <rFont val="Arial"/>
        <family val="2"/>
      </rPr>
      <t xml:space="preserve"> </t>
    </r>
    <r>
      <rPr>
        <u/>
        <sz val="12"/>
        <color indexed="8"/>
        <rFont val="Arial"/>
        <family val="2"/>
      </rPr>
      <t>spars</t>
    </r>
    <r>
      <rPr>
        <sz val="12"/>
        <color indexed="8"/>
        <rFont val="Arial"/>
        <family val="2"/>
      </rPr>
      <t xml:space="preserve"> as in Figure I.5</t>
    </r>
  </si>
  <si>
    <r>
      <t xml:space="preserve">I undertake to maintain this </t>
    </r>
    <r>
      <rPr>
        <b/>
        <sz val="11"/>
        <rFont val="Arial"/>
        <family val="2"/>
      </rPr>
      <t>boat</t>
    </r>
    <r>
      <rPr>
        <sz val="11"/>
        <rFont val="Arial"/>
        <family val="2"/>
      </rPr>
      <t xml:space="preserve"> in compliance with the </t>
    </r>
    <r>
      <rPr>
        <b/>
        <sz val="11"/>
        <rFont val="Arial"/>
        <family val="2"/>
      </rPr>
      <t>class rules</t>
    </r>
    <r>
      <rPr>
        <sz val="11"/>
        <rFont val="Arial"/>
        <family val="2"/>
      </rPr>
      <t xml:space="preserve"> and that alterations or repairs to equipment required by the </t>
    </r>
    <r>
      <rPr>
        <b/>
        <sz val="11"/>
        <rFont val="Arial"/>
        <family val="2"/>
      </rPr>
      <t xml:space="preserve">certification control </t>
    </r>
    <r>
      <rPr>
        <sz val="11"/>
        <rFont val="Arial"/>
        <family val="2"/>
      </rPr>
      <t xml:space="preserve">form(s) to be </t>
    </r>
    <r>
      <rPr>
        <b/>
        <sz val="11"/>
        <rFont val="Arial"/>
        <family val="2"/>
      </rPr>
      <t xml:space="preserve">certified </t>
    </r>
    <r>
      <rPr>
        <sz val="11"/>
        <rFont val="Arial"/>
        <family val="2"/>
      </rPr>
      <t xml:space="preserve">will be checked by an </t>
    </r>
    <r>
      <rPr>
        <b/>
        <sz val="11"/>
        <rFont val="Arial"/>
        <family val="2"/>
      </rPr>
      <t xml:space="preserve">official measurer </t>
    </r>
    <r>
      <rPr>
        <sz val="11"/>
        <rFont val="Arial"/>
        <family val="2"/>
      </rPr>
      <t>before use.</t>
    </r>
  </si>
  <si>
    <t>Date of Initial Certification Control</t>
  </si>
  <si>
    <t>Date of this Certification Control</t>
  </si>
  <si>
    <t>date of initial certification control</t>
  </si>
  <si>
    <t>© 2018, IRSA</t>
  </si>
  <si>
    <t xml:space="preserve">IRSA MARBLEHEAD CLASS               </t>
  </si>
  <si>
    <t xml:space="preserve">IRSA MARBLEHEAD CLASS    </t>
  </si>
  <si>
    <t xml:space="preserve">IRSA MARBLEHEAD CLASS RIG/SAIL CERTIFICATION CONTROL FORM               </t>
  </si>
  <si>
    <t>IRSA MARBLEHEAD CLASS CERTIFICATE</t>
  </si>
  <si>
    <t>Effective 1st April 2018</t>
  </si>
  <si>
    <t>Release version 1</t>
  </si>
  <si>
    <r>
      <t xml:space="preserve">diameter of joining </t>
    </r>
    <r>
      <rPr>
        <u/>
        <sz val="11"/>
        <color indexed="8"/>
        <rFont val="Arial"/>
        <family val="2"/>
      </rPr>
      <t>spar</t>
    </r>
    <r>
      <rPr>
        <sz val="11"/>
        <color indexed="8"/>
        <rFont val="Arial"/>
        <family val="2"/>
      </rPr>
      <t>, mm</t>
    </r>
  </si>
  <si>
    <r>
      <t xml:space="preserve">included angle between </t>
    </r>
    <r>
      <rPr>
        <u/>
        <sz val="11"/>
        <color indexed="8"/>
        <rFont val="Arial"/>
        <family val="2"/>
      </rPr>
      <t>spars</t>
    </r>
    <r>
      <rPr>
        <sz val="11"/>
        <color indexed="8"/>
        <rFont val="Arial"/>
        <family val="2"/>
      </rPr>
      <t>, degrees</t>
    </r>
  </si>
  <si>
    <r>
      <t xml:space="preserve">diameter of major </t>
    </r>
    <r>
      <rPr>
        <u/>
        <sz val="11"/>
        <color indexed="8"/>
        <rFont val="Arial"/>
        <family val="2"/>
      </rPr>
      <t>spar</t>
    </r>
    <r>
      <rPr>
        <sz val="11"/>
        <color indexed="8"/>
        <rFont val="Arial"/>
        <family val="2"/>
      </rPr>
      <t>, mm</t>
    </r>
  </si>
  <si>
    <t>1st April 2018</t>
  </si>
  <si>
    <t>certification authority name</t>
  </si>
  <si>
    <t>Certification Authority Stamp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</si>
</sst>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0" formatCode="0.0000"/>
    <numFmt numFmtId="185" formatCode="0.0"/>
    <numFmt numFmtId="196" formatCode="[$-F800]dddd\,\ mmmm\ dd\,\ yyyy"/>
    <numFmt numFmtId="198" formatCode="yyyy\-mm\-dd;@"/>
  </numFmts>
  <fonts count="60" x14ac:knownFonts="1">
    <font>
      <sz val="11"/>
      <color theme="1"/>
      <name val="Calibri"/>
      <family val="2"/>
      <scheme val="minor"/>
    </font>
    <font>
      <i/>
      <sz val="13"/>
      <name val="Arial"/>
      <family val="2"/>
    </font>
    <font>
      <b/>
      <sz val="20"/>
      <name val="Arial"/>
      <family val="2"/>
    </font>
    <font>
      <b/>
      <i/>
      <sz val="20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sz val="20"/>
      <name val="Arial"/>
      <family val="2"/>
    </font>
    <font>
      <sz val="11"/>
      <color indexed="9"/>
      <name val="Arial"/>
      <family val="2"/>
    </font>
    <font>
      <b/>
      <sz val="14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9"/>
      <color indexed="9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1"/>
      <color indexed="10"/>
      <name val="Arial"/>
      <family val="2"/>
    </font>
    <font>
      <i/>
      <sz val="10"/>
      <name val="Arial"/>
      <family val="2"/>
    </font>
    <font>
      <sz val="8"/>
      <name val="Calibri"/>
      <family val="2"/>
    </font>
    <font>
      <b/>
      <sz val="13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8"/>
      <color indexed="12"/>
      <name val="Arial"/>
      <family val="2"/>
    </font>
    <font>
      <sz val="14"/>
      <color indexed="8"/>
      <name val="Arial"/>
      <family val="2"/>
    </font>
    <font>
      <b/>
      <sz val="24"/>
      <name val="Arial"/>
      <family val="2"/>
    </font>
    <font>
      <sz val="26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indexed="12"/>
      <name val="Arial"/>
      <family val="2"/>
    </font>
    <font>
      <sz val="20"/>
      <color indexed="12"/>
      <name val="Arial"/>
      <family val="2"/>
    </font>
    <font>
      <sz val="12"/>
      <name val="Arial"/>
      <family val="2"/>
    </font>
    <font>
      <b/>
      <sz val="24"/>
      <color indexed="8"/>
      <name val="Arial"/>
      <family val="2"/>
    </font>
    <font>
      <b/>
      <sz val="20"/>
      <color indexed="8"/>
      <name val="Arial"/>
      <family val="2"/>
    </font>
    <font>
      <b/>
      <sz val="11"/>
      <color indexed="12"/>
      <name val="Arial"/>
      <family val="2"/>
    </font>
    <font>
      <sz val="12"/>
      <color indexed="12"/>
      <name val="Arial"/>
      <family val="2"/>
    </font>
    <font>
      <b/>
      <i/>
      <sz val="8"/>
      <color indexed="10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8"/>
      <color indexed="8"/>
      <name val="Arial"/>
      <family val="2"/>
    </font>
    <font>
      <u/>
      <sz val="12"/>
      <color indexed="8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u/>
      <sz val="11"/>
      <color indexed="8"/>
      <name val="Arial"/>
      <family val="2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268">
    <xf numFmtId="0" fontId="0" fillId="0" borderId="0" xfId="0"/>
    <xf numFmtId="0" fontId="2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11" fillId="2" borderId="0" xfId="0" applyFont="1" applyFill="1" applyProtection="1"/>
    <xf numFmtId="0" fontId="12" fillId="2" borderId="0" xfId="0" applyFont="1" applyFill="1" applyProtection="1"/>
    <xf numFmtId="0" fontId="14" fillId="2" borderId="0" xfId="0" applyFont="1" applyFill="1" applyProtection="1"/>
    <xf numFmtId="0" fontId="11" fillId="2" borderId="0" xfId="0" applyFont="1" applyFill="1" applyAlignment="1" applyProtection="1">
      <alignment horizontal="right"/>
    </xf>
    <xf numFmtId="0" fontId="7" fillId="0" borderId="1" xfId="0" applyFont="1" applyBorder="1" applyProtection="1"/>
    <xf numFmtId="0" fontId="7" fillId="0" borderId="1" xfId="0" applyFont="1" applyBorder="1" applyAlignment="1" applyProtection="1">
      <alignment horizontal="center"/>
    </xf>
    <xf numFmtId="0" fontId="7" fillId="0" borderId="0" xfId="0" applyFont="1" applyProtection="1"/>
    <xf numFmtId="0" fontId="15" fillId="0" borderId="0" xfId="0" applyFont="1" applyProtection="1"/>
    <xf numFmtId="0" fontId="16" fillId="0" borderId="0" xfId="0" applyFont="1" applyProtection="1"/>
    <xf numFmtId="0" fontId="15" fillId="0" borderId="0" xfId="0" applyFont="1" applyBorder="1" applyProtection="1"/>
    <xf numFmtId="0" fontId="29" fillId="0" borderId="0" xfId="0" applyFont="1" applyProtection="1"/>
    <xf numFmtId="0" fontId="2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0" fontId="5" fillId="0" borderId="1" xfId="0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7" fillId="0" borderId="1" xfId="0" applyFont="1" applyFill="1" applyBorder="1" applyProtection="1"/>
    <xf numFmtId="0" fontId="9" fillId="0" borderId="0" xfId="0" applyFont="1" applyProtection="1"/>
    <xf numFmtId="0" fontId="32" fillId="0" borderId="2" xfId="0" applyFont="1" applyBorder="1" applyProtection="1"/>
    <xf numFmtId="0" fontId="32" fillId="0" borderId="3" xfId="0" applyFont="1" applyBorder="1" applyProtection="1"/>
    <xf numFmtId="1" fontId="4" fillId="0" borderId="0" xfId="0" applyNumberFormat="1" applyFont="1" applyFill="1" applyBorder="1" applyProtection="1"/>
    <xf numFmtId="0" fontId="1" fillId="0" borderId="4" xfId="0" applyFont="1" applyFill="1" applyBorder="1" applyAlignment="1" applyProtection="1">
      <alignment horizontal="center"/>
    </xf>
    <xf numFmtId="1" fontId="1" fillId="0" borderId="5" xfId="0" applyNumberFormat="1" applyFont="1" applyBorder="1" applyAlignment="1" applyProtection="1">
      <alignment horizontal="center"/>
    </xf>
    <xf numFmtId="1" fontId="1" fillId="0" borderId="6" xfId="0" applyNumberFormat="1" applyFont="1" applyBorder="1" applyAlignment="1" applyProtection="1">
      <alignment horizontal="center"/>
    </xf>
    <xf numFmtId="0" fontId="11" fillId="0" borderId="0" xfId="0" applyFont="1" applyProtection="1"/>
    <xf numFmtId="0" fontId="11" fillId="0" borderId="0" xfId="0" applyFont="1" applyBorder="1" applyProtection="1"/>
    <xf numFmtId="0" fontId="15" fillId="0" borderId="7" xfId="0" applyFont="1" applyFill="1" applyBorder="1" applyProtection="1"/>
    <xf numFmtId="0" fontId="15" fillId="0" borderId="8" xfId="0" applyFont="1" applyFill="1" applyBorder="1" applyProtection="1"/>
    <xf numFmtId="0" fontId="1" fillId="0" borderId="9" xfId="0" applyFont="1" applyFill="1" applyBorder="1" applyAlignment="1" applyProtection="1">
      <alignment horizontal="center"/>
    </xf>
    <xf numFmtId="0" fontId="17" fillId="2" borderId="0" xfId="0" applyFont="1" applyFill="1" applyAlignment="1" applyProtection="1">
      <alignment horizontal="right"/>
    </xf>
    <xf numFmtId="1" fontId="1" fillId="0" borderId="9" xfId="0" applyNumberFormat="1" applyFont="1" applyFill="1" applyBorder="1" applyAlignment="1" applyProtection="1">
      <alignment horizontal="right"/>
    </xf>
    <xf numFmtId="1" fontId="1" fillId="0" borderId="9" xfId="0" applyNumberFormat="1" applyFont="1" applyBorder="1" applyAlignment="1" applyProtection="1">
      <alignment horizontal="right"/>
    </xf>
    <xf numFmtId="0" fontId="15" fillId="0" borderId="8" xfId="0" applyFont="1" applyBorder="1" applyProtection="1"/>
    <xf numFmtId="0" fontId="15" fillId="0" borderId="8" xfId="0" applyFont="1" applyBorder="1" applyAlignment="1" applyProtection="1">
      <alignment horizontal="right"/>
    </xf>
    <xf numFmtId="180" fontId="18" fillId="0" borderId="9" xfId="0" applyNumberFormat="1" applyFont="1" applyBorder="1" applyProtection="1"/>
    <xf numFmtId="180" fontId="21" fillId="0" borderId="0" xfId="0" applyNumberFormat="1" applyFont="1" applyBorder="1" applyProtection="1"/>
    <xf numFmtId="0" fontId="4" fillId="0" borderId="0" xfId="0" applyFont="1" applyAlignment="1" applyProtection="1">
      <alignment horizontal="right" vertical="top"/>
    </xf>
    <xf numFmtId="0" fontId="19" fillId="0" borderId="0" xfId="0" applyFont="1" applyProtection="1"/>
    <xf numFmtId="0" fontId="19" fillId="0" borderId="0" xfId="0" applyFont="1" applyAlignment="1" applyProtection="1">
      <alignment horizontal="right"/>
    </xf>
    <xf numFmtId="0" fontId="20" fillId="0" borderId="0" xfId="0" applyFont="1" applyBorder="1" applyAlignment="1" applyProtection="1">
      <alignment horizontal="right" wrapText="1"/>
    </xf>
    <xf numFmtId="0" fontId="19" fillId="0" borderId="0" xfId="0" applyFont="1" applyBorder="1" applyProtection="1"/>
    <xf numFmtId="0" fontId="19" fillId="0" borderId="0" xfId="0" applyFont="1" applyBorder="1" applyAlignment="1" applyProtection="1">
      <alignment horizontal="right"/>
    </xf>
    <xf numFmtId="0" fontId="22" fillId="0" borderId="0" xfId="0" applyFont="1" applyAlignment="1" applyProtection="1"/>
    <xf numFmtId="0" fontId="23" fillId="0" borderId="0" xfId="0" applyFont="1" applyAlignment="1" applyProtection="1"/>
    <xf numFmtId="0" fontId="26" fillId="0" borderId="0" xfId="0" applyFont="1" applyAlignment="1" applyProtection="1">
      <alignment horizontal="left"/>
    </xf>
    <xf numFmtId="0" fontId="27" fillId="0" borderId="0" xfId="0" applyFont="1" applyProtection="1"/>
    <xf numFmtId="0" fontId="27" fillId="0" borderId="0" xfId="0" applyFont="1" applyAlignment="1" applyProtection="1">
      <alignment horizontal="center"/>
    </xf>
    <xf numFmtId="0" fontId="6" fillId="0" borderId="10" xfId="0" applyFont="1" applyBorder="1" applyProtection="1"/>
    <xf numFmtId="0" fontId="6" fillId="0" borderId="11" xfId="0" applyFont="1" applyBorder="1" applyAlignment="1" applyProtection="1">
      <alignment horizontal="left"/>
    </xf>
    <xf numFmtId="0" fontId="6" fillId="0" borderId="12" xfId="0" applyFont="1" applyBorder="1" applyProtection="1"/>
    <xf numFmtId="0" fontId="6" fillId="0" borderId="12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29" fillId="0" borderId="13" xfId="0" applyFont="1" applyBorder="1" applyProtection="1"/>
    <xf numFmtId="0" fontId="7" fillId="0" borderId="13" xfId="0" applyFont="1" applyBorder="1" applyAlignment="1" applyProtection="1">
      <alignment horizontal="left"/>
    </xf>
    <xf numFmtId="0" fontId="7" fillId="0" borderId="11" xfId="0" applyFont="1" applyBorder="1" applyProtection="1"/>
    <xf numFmtId="0" fontId="7" fillId="0" borderId="12" xfId="0" applyFont="1" applyBorder="1" applyProtection="1"/>
    <xf numFmtId="0" fontId="25" fillId="0" borderId="3" xfId="0" applyFont="1" applyBorder="1" applyAlignment="1" applyProtection="1">
      <alignment horizontal="center"/>
    </xf>
    <xf numFmtId="0" fontId="29" fillId="0" borderId="14" xfId="0" applyFont="1" applyBorder="1" applyProtection="1"/>
    <xf numFmtId="0" fontId="7" fillId="0" borderId="14" xfId="0" applyFont="1" applyBorder="1" applyAlignment="1" applyProtection="1">
      <alignment horizontal="left"/>
    </xf>
    <xf numFmtId="0" fontId="7" fillId="0" borderId="0" xfId="0" applyFont="1" applyBorder="1" applyProtection="1"/>
    <xf numFmtId="0" fontId="7" fillId="0" borderId="15" xfId="0" applyFont="1" applyBorder="1" applyProtection="1"/>
    <xf numFmtId="0" fontId="25" fillId="0" borderId="3" xfId="0" applyFont="1" applyFill="1" applyBorder="1" applyAlignment="1" applyProtection="1">
      <alignment horizontal="center"/>
    </xf>
    <xf numFmtId="0" fontId="7" fillId="0" borderId="4" xfId="0" applyFont="1" applyBorder="1" applyAlignment="1" applyProtection="1">
      <alignment horizontal="left"/>
    </xf>
    <xf numFmtId="0" fontId="7" fillId="0" borderId="7" xfId="0" applyFont="1" applyBorder="1" applyProtection="1"/>
    <xf numFmtId="0" fontId="7" fillId="0" borderId="16" xfId="0" applyFont="1" applyBorder="1" applyProtection="1"/>
    <xf numFmtId="1" fontId="25" fillId="0" borderId="3" xfId="0" applyNumberFormat="1" applyFont="1" applyBorder="1" applyAlignment="1" applyProtection="1">
      <alignment horizontal="center"/>
    </xf>
    <xf numFmtId="0" fontId="15" fillId="0" borderId="11" xfId="0" applyFont="1" applyBorder="1" applyAlignment="1" applyProtection="1">
      <alignment horizontal="left"/>
    </xf>
    <xf numFmtId="0" fontId="7" fillId="0" borderId="11" xfId="0" applyFont="1" applyBorder="1" applyAlignment="1" applyProtection="1">
      <alignment horizontal="left"/>
    </xf>
    <xf numFmtId="0" fontId="7" fillId="0" borderId="12" xfId="0" applyFont="1" applyBorder="1" applyAlignment="1" applyProtection="1">
      <alignment horizontal="left"/>
    </xf>
    <xf numFmtId="0" fontId="7" fillId="0" borderId="14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15" fillId="0" borderId="7" xfId="0" applyFont="1" applyBorder="1" applyProtection="1"/>
    <xf numFmtId="0" fontId="15" fillId="0" borderId="11" xfId="0" applyFont="1" applyBorder="1" applyProtection="1"/>
    <xf numFmtId="0" fontId="29" fillId="0" borderId="4" xfId="0" applyFont="1" applyBorder="1" applyProtection="1"/>
    <xf numFmtId="0" fontId="7" fillId="0" borderId="2" xfId="0" applyFont="1" applyBorder="1" applyAlignment="1" applyProtection="1">
      <alignment horizontal="center"/>
    </xf>
    <xf numFmtId="0" fontId="7" fillId="0" borderId="8" xfId="0" applyFont="1" applyBorder="1" applyProtection="1"/>
    <xf numFmtId="0" fontId="7" fillId="0" borderId="3" xfId="0" applyFont="1" applyBorder="1" applyProtection="1"/>
    <xf numFmtId="0" fontId="34" fillId="0" borderId="0" xfId="0" applyFont="1"/>
    <xf numFmtId="0" fontId="35" fillId="0" borderId="0" xfId="0" applyFont="1" applyAlignment="1">
      <alignment horizontal="left" indent="4"/>
    </xf>
    <xf numFmtId="0" fontId="35" fillId="0" borderId="0" xfId="0" applyFont="1" applyAlignment="1">
      <alignment horizontal="left" wrapText="1" indent="4"/>
    </xf>
    <xf numFmtId="0" fontId="35" fillId="0" borderId="0" xfId="0" applyFont="1" applyAlignment="1"/>
    <xf numFmtId="0" fontId="37" fillId="3" borderId="0" xfId="0" applyFont="1" applyFill="1"/>
    <xf numFmtId="0" fontId="22" fillId="0" borderId="0" xfId="0" applyFont="1" applyFill="1" applyAlignment="1" applyProtection="1"/>
    <xf numFmtId="0" fontId="30" fillId="0" borderId="0" xfId="0" applyFont="1" applyFill="1" applyProtection="1"/>
    <xf numFmtId="0" fontId="7" fillId="0" borderId="0" xfId="0" applyFont="1" applyFill="1" applyBorder="1" applyAlignment="1" applyProtection="1">
      <alignment horizontal="center"/>
    </xf>
    <xf numFmtId="0" fontId="31" fillId="0" borderId="0" xfId="0" applyFont="1" applyFill="1" applyBorder="1" applyProtection="1"/>
    <xf numFmtId="0" fontId="40" fillId="0" borderId="0" xfId="0" quotePrefix="1" applyFont="1"/>
    <xf numFmtId="180" fontId="25" fillId="0" borderId="9" xfId="0" applyNumberFormat="1" applyFont="1" applyBorder="1" applyAlignment="1" applyProtection="1">
      <alignment horizontal="center"/>
    </xf>
    <xf numFmtId="0" fontId="32" fillId="0" borderId="0" xfId="0" applyFont="1" applyFill="1" applyAlignment="1" applyProtection="1"/>
    <xf numFmtId="0" fontId="3" fillId="0" borderId="0" xfId="0" applyFont="1" applyAlignment="1" applyProtection="1">
      <alignment horizontal="right"/>
    </xf>
    <xf numFmtId="0" fontId="2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41" fillId="0" borderId="0" xfId="0" applyFont="1"/>
    <xf numFmtId="0" fontId="42" fillId="0" borderId="0" xfId="0" applyFont="1"/>
    <xf numFmtId="0" fontId="43" fillId="3" borderId="0" xfId="0" applyFont="1" applyFill="1"/>
    <xf numFmtId="0" fontId="41" fillId="0" borderId="0" xfId="0" applyFont="1" applyProtection="1"/>
    <xf numFmtId="0" fontId="41" fillId="0" borderId="0" xfId="0" applyFont="1" applyAlignment="1" applyProtection="1">
      <alignment horizontal="right"/>
    </xf>
    <xf numFmtId="0" fontId="41" fillId="0" borderId="0" xfId="0" applyFont="1" applyFill="1" applyProtection="1"/>
    <xf numFmtId="0" fontId="41" fillId="0" borderId="1" xfId="0" applyFont="1" applyFill="1" applyBorder="1" applyAlignment="1" applyProtection="1">
      <alignment horizontal="right"/>
    </xf>
    <xf numFmtId="0" fontId="41" fillId="0" borderId="2" xfId="0" applyFont="1" applyFill="1" applyBorder="1" applyProtection="1"/>
    <xf numFmtId="0" fontId="41" fillId="0" borderId="8" xfId="0" applyFont="1" applyFill="1" applyBorder="1" applyAlignment="1" applyProtection="1">
      <alignment horizontal="right"/>
    </xf>
    <xf numFmtId="0" fontId="41" fillId="0" borderId="8" xfId="0" applyFont="1" applyFill="1" applyBorder="1" applyProtection="1"/>
    <xf numFmtId="0" fontId="41" fillId="0" borderId="2" xfId="0" applyFont="1" applyBorder="1" applyProtection="1"/>
    <xf numFmtId="0" fontId="41" fillId="0" borderId="8" xfId="0" applyFont="1" applyBorder="1" applyProtection="1"/>
    <xf numFmtId="0" fontId="41" fillId="0" borderId="8" xfId="0" applyFont="1" applyBorder="1" applyAlignment="1" applyProtection="1">
      <alignment horizontal="right"/>
    </xf>
    <xf numFmtId="0" fontId="42" fillId="4" borderId="0" xfId="0" applyFont="1" applyFill="1" applyBorder="1" applyProtection="1"/>
    <xf numFmtId="2" fontId="41" fillId="0" borderId="0" xfId="0" applyNumberFormat="1" applyFont="1" applyProtection="1"/>
    <xf numFmtId="0" fontId="41" fillId="0" borderId="14" xfId="0" applyFont="1" applyBorder="1" applyProtection="1"/>
    <xf numFmtId="0" fontId="41" fillId="0" borderId="0" xfId="0" applyFont="1" applyBorder="1" applyProtection="1"/>
    <xf numFmtId="0" fontId="41" fillId="0" borderId="15" xfId="0" applyFont="1" applyBorder="1" applyProtection="1"/>
    <xf numFmtId="0" fontId="41" fillId="0" borderId="4" xfId="0" applyFont="1" applyFill="1" applyBorder="1" applyProtection="1"/>
    <xf numFmtId="0" fontId="41" fillId="0" borderId="7" xfId="0" applyFont="1" applyFill="1" applyBorder="1" applyProtection="1"/>
    <xf numFmtId="0" fontId="41" fillId="0" borderId="7" xfId="0" applyFont="1" applyFill="1" applyBorder="1" applyAlignment="1" applyProtection="1">
      <alignment horizontal="right"/>
    </xf>
    <xf numFmtId="0" fontId="42" fillId="0" borderId="13" xfId="0" applyFont="1" applyFill="1" applyBorder="1" applyProtection="1"/>
    <xf numFmtId="0" fontId="42" fillId="0" borderId="11" xfId="0" applyFont="1" applyFill="1" applyBorder="1" applyProtection="1"/>
    <xf numFmtId="0" fontId="42" fillId="0" borderId="12" xfId="0" applyFont="1" applyFill="1" applyBorder="1" applyProtection="1"/>
    <xf numFmtId="0" fontId="41" fillId="0" borderId="3" xfId="0" applyFont="1" applyFill="1" applyBorder="1" applyAlignment="1" applyProtection="1">
      <alignment horizontal="right"/>
    </xf>
    <xf numFmtId="0" fontId="42" fillId="0" borderId="14" xfId="0" applyFont="1" applyFill="1" applyBorder="1" applyProtection="1"/>
    <xf numFmtId="0" fontId="42" fillId="0" borderId="0" xfId="0" applyFont="1" applyFill="1" applyBorder="1" applyProtection="1"/>
    <xf numFmtId="0" fontId="42" fillId="0" borderId="15" xfId="0" applyFont="1" applyFill="1" applyBorder="1" applyProtection="1"/>
    <xf numFmtId="0" fontId="41" fillId="0" borderId="14" xfId="0" applyFont="1" applyFill="1" applyBorder="1" applyProtection="1"/>
    <xf numFmtId="0" fontId="41" fillId="0" borderId="0" xfId="0" applyFont="1" applyFill="1" applyBorder="1" applyProtection="1"/>
    <xf numFmtId="1" fontId="42" fillId="5" borderId="0" xfId="0" applyNumberFormat="1" applyFont="1" applyFill="1" applyBorder="1" applyProtection="1"/>
    <xf numFmtId="0" fontId="42" fillId="0" borderId="4" xfId="0" applyFont="1" applyFill="1" applyBorder="1" applyProtection="1"/>
    <xf numFmtId="0" fontId="42" fillId="0" borderId="7" xfId="0" applyFont="1" applyFill="1" applyBorder="1" applyProtection="1"/>
    <xf numFmtId="0" fontId="42" fillId="0" borderId="16" xfId="0" applyFont="1" applyFill="1" applyBorder="1" applyProtection="1"/>
    <xf numFmtId="0" fontId="41" fillId="0" borderId="3" xfId="0" applyFont="1" applyBorder="1" applyAlignment="1" applyProtection="1">
      <alignment horizontal="right"/>
    </xf>
    <xf numFmtId="0" fontId="41" fillId="0" borderId="0" xfId="0" applyFont="1" applyBorder="1" applyAlignment="1" applyProtection="1">
      <alignment horizontal="right"/>
    </xf>
    <xf numFmtId="0" fontId="41" fillId="0" borderId="0" xfId="0" applyFont="1" applyAlignment="1" applyProtection="1">
      <alignment horizontal="center"/>
    </xf>
    <xf numFmtId="0" fontId="41" fillId="0" borderId="13" xfId="0" applyFont="1" applyBorder="1" applyAlignment="1" applyProtection="1">
      <alignment horizontal="center"/>
    </xf>
    <xf numFmtId="0" fontId="41" fillId="0" borderId="4" xfId="0" applyFont="1" applyBorder="1" applyProtection="1"/>
    <xf numFmtId="0" fontId="41" fillId="0" borderId="0" xfId="0" applyFont="1" applyFill="1" applyAlignment="1" applyProtection="1">
      <alignment horizontal="center"/>
    </xf>
    <xf numFmtId="0" fontId="41" fillId="2" borderId="0" xfId="0" applyFont="1" applyFill="1" applyProtection="1"/>
    <xf numFmtId="0" fontId="41" fillId="2" borderId="0" xfId="0" applyFont="1" applyFill="1" applyAlignment="1" applyProtection="1">
      <alignment horizontal="center"/>
    </xf>
    <xf numFmtId="0" fontId="41" fillId="0" borderId="1" xfId="0" applyFont="1" applyBorder="1" applyAlignment="1" applyProtection="1">
      <alignment horizontal="center"/>
    </xf>
    <xf numFmtId="0" fontId="41" fillId="0" borderId="1" xfId="0" applyFont="1" applyBorder="1" applyProtection="1"/>
    <xf numFmtId="0" fontId="41" fillId="0" borderId="0" xfId="0" applyFont="1" applyBorder="1" applyAlignment="1" applyProtection="1">
      <alignment horizontal="center"/>
    </xf>
    <xf numFmtId="0" fontId="41" fillId="0" borderId="1" xfId="0" applyFont="1" applyBorder="1" applyAlignment="1" applyProtection="1">
      <alignment horizontal="left"/>
    </xf>
    <xf numFmtId="0" fontId="44" fillId="3" borderId="0" xfId="0" applyFont="1" applyFill="1"/>
    <xf numFmtId="0" fontId="45" fillId="0" borderId="0" xfId="0" applyFont="1" applyAlignment="1">
      <alignment horizontal="left" vertical="center"/>
    </xf>
    <xf numFmtId="0" fontId="29" fillId="0" borderId="0" xfId="0" applyFont="1" applyFill="1" applyAlignment="1" applyProtection="1">
      <alignment horizontal="center"/>
    </xf>
    <xf numFmtId="0" fontId="29" fillId="0" borderId="0" xfId="0" applyFont="1" applyFill="1" applyProtection="1"/>
    <xf numFmtId="0" fontId="39" fillId="0" borderId="0" xfId="0" applyFont="1" applyProtection="1"/>
    <xf numFmtId="0" fontId="40" fillId="0" borderId="0" xfId="0" quotePrefix="1" applyFont="1" applyProtection="1"/>
    <xf numFmtId="0" fontId="37" fillId="3" borderId="0" xfId="0" applyFont="1" applyFill="1" applyProtection="1"/>
    <xf numFmtId="0" fontId="42" fillId="0" borderId="0" xfId="0" applyFont="1" applyProtection="1"/>
    <xf numFmtId="0" fontId="35" fillId="0" borderId="0" xfId="0" applyFont="1" applyProtection="1"/>
    <xf numFmtId="0" fontId="35" fillId="0" borderId="0" xfId="0" applyFont="1" applyAlignment="1" applyProtection="1"/>
    <xf numFmtId="0" fontId="35" fillId="0" borderId="0" xfId="0" applyFont="1" applyAlignment="1" applyProtection="1">
      <alignment horizontal="left" wrapText="1" indent="4"/>
    </xf>
    <xf numFmtId="0" fontId="38" fillId="0" borderId="0" xfId="0" applyFont="1" applyProtection="1"/>
    <xf numFmtId="0" fontId="41" fillId="0" borderId="0" xfId="0" applyFont="1" applyAlignment="1" applyProtection="1">
      <alignment wrapText="1"/>
    </xf>
    <xf numFmtId="0" fontId="48" fillId="0" borderId="0" xfId="0" applyFont="1" applyFill="1" applyProtection="1"/>
    <xf numFmtId="1" fontId="42" fillId="0" borderId="0" xfId="0" applyNumberFormat="1" applyFont="1" applyProtection="1"/>
    <xf numFmtId="185" fontId="42" fillId="0" borderId="0" xfId="0" applyNumberFormat="1" applyFont="1" applyProtection="1"/>
    <xf numFmtId="0" fontId="42" fillId="0" borderId="0" xfId="0" applyFont="1" applyFill="1" applyProtection="1"/>
    <xf numFmtId="1" fontId="42" fillId="0" borderId="0" xfId="0" applyNumberFormat="1" applyFont="1" applyFill="1" applyProtection="1"/>
    <xf numFmtId="185" fontId="42" fillId="6" borderId="0" xfId="0" applyNumberFormat="1" applyFont="1" applyFill="1" applyProtection="1"/>
    <xf numFmtId="0" fontId="29" fillId="0" borderId="2" xfId="0" applyFont="1" applyFill="1" applyBorder="1" applyAlignment="1" applyProtection="1">
      <alignment horizontal="center"/>
    </xf>
    <xf numFmtId="1" fontId="42" fillId="0" borderId="0" xfId="0" applyNumberFormat="1" applyFont="1" applyProtection="1">
      <protection hidden="1"/>
    </xf>
    <xf numFmtId="180" fontId="42" fillId="0" borderId="0" xfId="0" applyNumberFormat="1" applyFont="1" applyProtection="1">
      <protection hidden="1"/>
    </xf>
    <xf numFmtId="0" fontId="42" fillId="0" borderId="0" xfId="0" applyFont="1" applyProtection="1">
      <protection hidden="1"/>
    </xf>
    <xf numFmtId="0" fontId="25" fillId="0" borderId="3" xfId="0" applyFont="1" applyFill="1" applyBorder="1" applyAlignment="1" applyProtection="1">
      <alignment horizontal="center"/>
      <protection hidden="1"/>
    </xf>
    <xf numFmtId="0" fontId="41" fillId="0" borderId="0" xfId="0" applyFont="1" applyProtection="1">
      <protection hidden="1"/>
    </xf>
    <xf numFmtId="0" fontId="41" fillId="0" borderId="0" xfId="0" applyFont="1" applyBorder="1" applyAlignment="1" applyProtection="1"/>
    <xf numFmtId="0" fontId="42" fillId="0" borderId="0" xfId="0" applyFont="1" applyAlignment="1">
      <alignment horizontal="right"/>
    </xf>
    <xf numFmtId="0" fontId="16" fillId="0" borderId="0" xfId="0" applyFont="1" applyFill="1" applyAlignment="1" applyProtection="1">
      <alignment horizontal="right"/>
    </xf>
    <xf numFmtId="0" fontId="16" fillId="0" borderId="0" xfId="0" applyFont="1" applyFill="1" applyProtection="1"/>
    <xf numFmtId="0" fontId="29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/>
    <xf numFmtId="0" fontId="22" fillId="0" borderId="0" xfId="0" applyFont="1" applyBorder="1" applyAlignment="1" applyProtection="1"/>
    <xf numFmtId="0" fontId="32" fillId="0" borderId="0" xfId="0" applyFont="1" applyFill="1" applyProtection="1"/>
    <xf numFmtId="0" fontId="32" fillId="0" borderId="0" xfId="0" applyFont="1" applyFill="1" applyAlignment="1" applyProtection="1">
      <alignment horizontal="right"/>
    </xf>
    <xf numFmtId="0" fontId="4" fillId="5" borderId="0" xfId="0" applyFont="1" applyFill="1" applyBorder="1" applyProtection="1"/>
    <xf numFmtId="0" fontId="47" fillId="0" borderId="0" xfId="0" applyFont="1" applyAlignment="1" applyProtection="1">
      <alignment wrapText="1"/>
    </xf>
    <xf numFmtId="0" fontId="42" fillId="0" borderId="0" xfId="0" applyFont="1" applyAlignment="1" applyProtection="1">
      <alignment horizontal="left"/>
    </xf>
    <xf numFmtId="0" fontId="49" fillId="3" borderId="0" xfId="0" applyFont="1" applyFill="1" applyProtection="1"/>
    <xf numFmtId="0" fontId="41" fillId="6" borderId="0" xfId="0" applyFont="1" applyFill="1" applyProtection="1">
      <protection locked="0"/>
    </xf>
    <xf numFmtId="0" fontId="4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19" fillId="6" borderId="0" xfId="0" applyFont="1" applyFill="1" applyProtection="1">
      <protection locked="0"/>
    </xf>
    <xf numFmtId="0" fontId="7" fillId="6" borderId="0" xfId="0" applyFont="1" applyFill="1" applyProtection="1">
      <protection locked="0"/>
    </xf>
    <xf numFmtId="0" fontId="41" fillId="6" borderId="0" xfId="0" applyFont="1" applyFill="1" applyBorder="1" applyProtection="1">
      <protection locked="0"/>
    </xf>
    <xf numFmtId="180" fontId="1" fillId="0" borderId="9" xfId="0" applyNumberFormat="1" applyFont="1" applyBorder="1" applyAlignment="1" applyProtection="1">
      <alignment horizontal="right"/>
    </xf>
    <xf numFmtId="0" fontId="41" fillId="0" borderId="0" xfId="0" applyFont="1" applyAlignment="1">
      <alignment horizontal="right"/>
    </xf>
    <xf numFmtId="198" fontId="41" fillId="0" borderId="0" xfId="0" applyNumberFormat="1" applyFont="1"/>
    <xf numFmtId="185" fontId="52" fillId="3" borderId="0" xfId="0" applyNumberFormat="1" applyFont="1" applyFill="1" applyProtection="1">
      <protection locked="0"/>
    </xf>
    <xf numFmtId="1" fontId="53" fillId="3" borderId="17" xfId="0" applyNumberFormat="1" applyFont="1" applyFill="1" applyBorder="1" applyAlignment="1" applyProtection="1">
      <alignment horizontal="center"/>
      <protection locked="0"/>
    </xf>
    <xf numFmtId="0" fontId="54" fillId="3" borderId="0" xfId="0" applyFont="1" applyFill="1" applyProtection="1"/>
    <xf numFmtId="0" fontId="54" fillId="3" borderId="0" xfId="0" applyFont="1" applyFill="1"/>
    <xf numFmtId="1" fontId="18" fillId="0" borderId="17" xfId="0" applyNumberFormat="1" applyFont="1" applyFill="1" applyBorder="1" applyAlignment="1" applyProtection="1">
      <alignment horizontal="right"/>
    </xf>
    <xf numFmtId="0" fontId="46" fillId="0" borderId="0" xfId="0" applyFont="1" applyAlignment="1" applyProtection="1">
      <alignment wrapText="1"/>
    </xf>
    <xf numFmtId="0" fontId="47" fillId="0" borderId="0" xfId="0" applyFont="1" applyAlignment="1" applyProtection="1">
      <alignment wrapText="1"/>
    </xf>
    <xf numFmtId="0" fontId="4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41" fillId="0" borderId="1" xfId="0" applyFont="1" applyBorder="1" applyAlignment="1" applyProtection="1">
      <alignment wrapText="1"/>
    </xf>
    <xf numFmtId="0" fontId="25" fillId="0" borderId="0" xfId="0" applyFont="1" applyAlignment="1" applyProtection="1">
      <alignment wrapText="1"/>
    </xf>
    <xf numFmtId="0" fontId="35" fillId="0" borderId="0" xfId="0" applyFont="1" applyAlignment="1" applyProtection="1">
      <alignment wrapText="1"/>
    </xf>
    <xf numFmtId="0" fontId="20" fillId="0" borderId="1" xfId="0" applyFont="1" applyFill="1" applyBorder="1" applyAlignment="1" applyProtection="1">
      <alignment horizontal="center" wrapText="1"/>
    </xf>
    <xf numFmtId="0" fontId="41" fillId="0" borderId="1" xfId="0" applyFont="1" applyFill="1" applyBorder="1" applyAlignment="1" applyProtection="1">
      <alignment wrapText="1"/>
    </xf>
    <xf numFmtId="196" fontId="18" fillId="0" borderId="1" xfId="0" applyNumberFormat="1" applyFont="1" applyFill="1" applyBorder="1" applyAlignment="1" applyProtection="1">
      <alignment horizontal="right" wrapText="1"/>
    </xf>
    <xf numFmtId="196" fontId="42" fillId="0" borderId="1" xfId="0" applyNumberFormat="1" applyFont="1" applyBorder="1" applyAlignment="1" applyProtection="1">
      <alignment horizontal="right" wrapText="1"/>
    </xf>
    <xf numFmtId="0" fontId="56" fillId="0" borderId="0" xfId="0" applyFont="1" applyAlignment="1" applyProtection="1">
      <alignment horizontal="center" wrapText="1"/>
    </xf>
    <xf numFmtId="0" fontId="57" fillId="0" borderId="0" xfId="0" applyFont="1" applyAlignment="1" applyProtection="1">
      <alignment horizontal="center" wrapText="1"/>
    </xf>
    <xf numFmtId="1" fontId="18" fillId="0" borderId="18" xfId="0" applyNumberFormat="1" applyFont="1" applyFill="1" applyBorder="1" applyAlignment="1" applyProtection="1">
      <alignment horizontal="right"/>
    </xf>
    <xf numFmtId="0" fontId="59" fillId="0" borderId="19" xfId="0" applyFont="1" applyFill="1" applyBorder="1" applyAlignment="1" applyProtection="1">
      <alignment horizontal="right"/>
    </xf>
    <xf numFmtId="0" fontId="59" fillId="0" borderId="20" xfId="0" applyFont="1" applyFill="1" applyBorder="1" applyAlignment="1" applyProtection="1">
      <alignment horizontal="right"/>
    </xf>
    <xf numFmtId="0" fontId="41" fillId="0" borderId="8" xfId="0" applyFont="1" applyFill="1" applyBorder="1" applyAlignment="1" applyProtection="1">
      <alignment wrapText="1"/>
    </xf>
    <xf numFmtId="0" fontId="41" fillId="0" borderId="8" xfId="0" applyFont="1" applyFill="1" applyBorder="1" applyAlignment="1" applyProtection="1"/>
    <xf numFmtId="0" fontId="8" fillId="0" borderId="14" xfId="0" applyFont="1" applyBorder="1" applyAlignment="1" applyProtection="1"/>
    <xf numFmtId="0" fontId="41" fillId="0" borderId="0" xfId="0" applyFont="1" applyBorder="1" applyAlignment="1" applyProtection="1"/>
    <xf numFmtId="0" fontId="41" fillId="0" borderId="15" xfId="0" applyFont="1" applyBorder="1" applyAlignment="1" applyProtection="1"/>
    <xf numFmtId="0" fontId="8" fillId="0" borderId="13" xfId="0" applyFont="1" applyBorder="1" applyAlignment="1" applyProtection="1"/>
    <xf numFmtId="0" fontId="41" fillId="0" borderId="11" xfId="0" applyFont="1" applyBorder="1" applyAlignment="1" applyProtection="1"/>
    <xf numFmtId="0" fontId="41" fillId="0" borderId="12" xfId="0" applyFont="1" applyBorder="1" applyAlignment="1" applyProtection="1"/>
    <xf numFmtId="0" fontId="8" fillId="0" borderId="4" xfId="0" applyFont="1" applyBorder="1" applyAlignment="1" applyProtection="1"/>
    <xf numFmtId="0" fontId="41" fillId="0" borderId="7" xfId="0" applyFont="1" applyBorder="1" applyAlignment="1" applyProtection="1"/>
    <xf numFmtId="0" fontId="41" fillId="0" borderId="16" xfId="0" applyFont="1" applyBorder="1" applyAlignment="1" applyProtection="1"/>
    <xf numFmtId="0" fontId="23" fillId="6" borderId="0" xfId="0" applyFont="1" applyFill="1" applyAlignment="1" applyProtection="1">
      <protection locked="0"/>
    </xf>
    <xf numFmtId="0" fontId="41" fillId="6" borderId="0" xfId="0" applyFont="1" applyFill="1" applyAlignment="1" applyProtection="1">
      <protection locked="0"/>
    </xf>
    <xf numFmtId="0" fontId="29" fillId="0" borderId="8" xfId="0" applyFont="1" applyFill="1" applyBorder="1" applyAlignment="1" applyProtection="1">
      <alignment horizontal="center"/>
    </xf>
    <xf numFmtId="0" fontId="29" fillId="0" borderId="3" xfId="0" applyFont="1" applyFill="1" applyBorder="1" applyAlignment="1" applyProtection="1">
      <alignment horizontal="center"/>
    </xf>
    <xf numFmtId="0" fontId="16" fillId="0" borderId="22" xfId="0" applyFont="1" applyBorder="1" applyAlignment="1" applyProtection="1">
      <alignment wrapText="1"/>
    </xf>
    <xf numFmtId="0" fontId="41" fillId="0" borderId="22" xfId="0" applyFont="1" applyBorder="1" applyAlignment="1" applyProtection="1">
      <alignment wrapText="1"/>
    </xf>
    <xf numFmtId="0" fontId="7" fillId="0" borderId="14" xfId="0" applyFont="1" applyBorder="1" applyAlignment="1" applyProtection="1">
      <alignment horizontal="center" wrapText="1"/>
    </xf>
    <xf numFmtId="0" fontId="41" fillId="0" borderId="15" xfId="0" applyFont="1" applyBorder="1" applyAlignment="1" applyProtection="1">
      <alignment wrapText="1"/>
    </xf>
    <xf numFmtId="0" fontId="41" fillId="0" borderId="14" xfId="0" applyFont="1" applyBorder="1" applyAlignment="1" applyProtection="1">
      <alignment wrapText="1"/>
    </xf>
    <xf numFmtId="0" fontId="41" fillId="0" borderId="4" xfId="0" applyFont="1" applyBorder="1" applyAlignment="1" applyProtection="1">
      <alignment wrapText="1"/>
    </xf>
    <xf numFmtId="0" fontId="41" fillId="0" borderId="16" xfId="0" applyFont="1" applyBorder="1" applyAlignment="1" applyProtection="1">
      <alignment wrapText="1"/>
    </xf>
    <xf numFmtId="0" fontId="19" fillId="0" borderId="1" xfId="0" applyFont="1" applyBorder="1" applyAlignment="1" applyProtection="1"/>
    <xf numFmtId="0" fontId="41" fillId="0" borderId="1" xfId="0" applyFont="1" applyBorder="1" applyAlignment="1" applyProtection="1"/>
    <xf numFmtId="0" fontId="19" fillId="0" borderId="21" xfId="0" applyFont="1" applyBorder="1" applyAlignment="1" applyProtection="1"/>
    <xf numFmtId="0" fontId="41" fillId="0" borderId="21" xfId="0" applyFont="1" applyBorder="1" applyAlignment="1" applyProtection="1"/>
    <xf numFmtId="14" fontId="25" fillId="3" borderId="21" xfId="0" applyNumberFormat="1" applyFont="1" applyFill="1" applyBorder="1" applyAlignment="1" applyProtection="1">
      <alignment horizontal="right"/>
      <protection locked="0"/>
    </xf>
    <xf numFmtId="0" fontId="25" fillId="3" borderId="21" xfId="0" applyFont="1" applyFill="1" applyBorder="1" applyAlignment="1" applyProtection="1">
      <alignment horizontal="right"/>
      <protection locked="0"/>
    </xf>
    <xf numFmtId="0" fontId="16" fillId="0" borderId="0" xfId="0" applyFont="1" applyAlignment="1" applyProtection="1">
      <alignment wrapText="1"/>
    </xf>
    <xf numFmtId="0" fontId="41" fillId="0" borderId="0" xfId="0" applyFont="1" applyAlignment="1" applyProtection="1">
      <alignment wrapText="1"/>
    </xf>
    <xf numFmtId="0" fontId="50" fillId="0" borderId="11" xfId="0" applyFont="1" applyFill="1" applyBorder="1" applyAlignment="1" applyProtection="1">
      <alignment horizontal="right" wrapText="1"/>
    </xf>
    <xf numFmtId="0" fontId="51" fillId="0" borderId="11" xfId="0" applyFont="1" applyBorder="1" applyAlignment="1" applyProtection="1">
      <alignment wrapText="1"/>
    </xf>
    <xf numFmtId="0" fontId="51" fillId="0" borderId="0" xfId="0" applyFont="1" applyAlignment="1" applyProtection="1">
      <alignment wrapText="1"/>
    </xf>
    <xf numFmtId="0" fontId="25" fillId="3" borderId="21" xfId="0" applyNumberFormat="1" applyFont="1" applyFill="1" applyBorder="1" applyAlignment="1" applyProtection="1">
      <alignment horizontal="right"/>
      <protection locked="0"/>
    </xf>
    <xf numFmtId="0" fontId="21" fillId="0" borderId="13" xfId="0" applyFont="1" applyBorder="1" applyAlignment="1" applyProtection="1">
      <alignment horizontal="center" wrapText="1"/>
    </xf>
    <xf numFmtId="0" fontId="41" fillId="0" borderId="12" xfId="0" applyFont="1" applyBorder="1" applyAlignment="1" applyProtection="1">
      <alignment horizontal="center" wrapText="1"/>
    </xf>
    <xf numFmtId="0" fontId="16" fillId="0" borderId="4" xfId="0" applyFont="1" applyBorder="1" applyAlignment="1" applyProtection="1">
      <alignment vertical="top" wrapText="1"/>
    </xf>
    <xf numFmtId="0" fontId="41" fillId="0" borderId="7" xfId="0" applyFont="1" applyBorder="1" applyAlignment="1" applyProtection="1">
      <alignment vertical="top" wrapText="1"/>
    </xf>
    <xf numFmtId="0" fontId="41" fillId="0" borderId="16" xfId="0" applyFont="1" applyBorder="1" applyAlignment="1" applyProtection="1">
      <alignment vertical="top" wrapText="1"/>
    </xf>
    <xf numFmtId="0" fontId="21" fillId="0" borderId="14" xfId="0" applyFont="1" applyBorder="1" applyAlignment="1" applyProtection="1">
      <alignment horizontal="center"/>
    </xf>
    <xf numFmtId="0" fontId="21" fillId="0" borderId="15" xfId="0" applyFont="1" applyBorder="1" applyAlignment="1" applyProtection="1">
      <alignment horizontal="center"/>
    </xf>
    <xf numFmtId="0" fontId="25" fillId="0" borderId="1" xfId="0" applyFont="1" applyBorder="1" applyAlignment="1" applyProtection="1">
      <alignment horizontal="left"/>
    </xf>
    <xf numFmtId="0" fontId="7" fillId="0" borderId="21" xfId="0" applyFont="1" applyBorder="1" applyAlignment="1" applyProtection="1"/>
    <xf numFmtId="0" fontId="25" fillId="0" borderId="21" xfId="0" applyFont="1" applyBorder="1" applyAlignment="1" applyProtection="1">
      <alignment horizontal="left"/>
    </xf>
    <xf numFmtId="0" fontId="7" fillId="0" borderId="22" xfId="0" applyFont="1" applyBorder="1" applyAlignment="1" applyProtection="1">
      <alignment wrapText="1"/>
    </xf>
    <xf numFmtId="0" fontId="28" fillId="3" borderId="11" xfId="0" applyFont="1" applyFill="1" applyBorder="1" applyAlignment="1" applyProtection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wrapText="1"/>
    </xf>
    <xf numFmtId="0" fontId="41" fillId="6" borderId="11" xfId="0" applyFont="1" applyFill="1" applyBorder="1" applyAlignment="1" applyProtection="1">
      <alignment wrapText="1"/>
      <protection locked="0"/>
    </xf>
    <xf numFmtId="0" fontId="0" fillId="6" borderId="0" xfId="0" applyFill="1" applyAlignment="1" applyProtection="1">
      <alignment wrapText="1"/>
      <protection locked="0"/>
    </xf>
    <xf numFmtId="0" fontId="41" fillId="0" borderId="0" xfId="0" applyFont="1" applyAlignment="1" applyProtection="1"/>
    <xf numFmtId="0" fontId="24" fillId="0" borderId="13" xfId="0" applyFont="1" applyBorder="1" applyAlignment="1" applyProtection="1">
      <alignment vertical="center" wrapText="1"/>
    </xf>
    <xf numFmtId="0" fontId="41" fillId="0" borderId="11" xfId="0" applyFont="1" applyBorder="1" applyAlignment="1" applyProtection="1">
      <alignment vertical="center" wrapText="1"/>
    </xf>
    <xf numFmtId="0" fontId="41" fillId="0" borderId="11" xfId="0" applyFont="1" applyBorder="1" applyAlignment="1" applyProtection="1">
      <alignment wrapText="1"/>
    </xf>
    <xf numFmtId="0" fontId="41" fillId="0" borderId="12" xfId="0" applyFont="1" applyBorder="1" applyAlignment="1" applyProtection="1">
      <alignment wrapText="1"/>
    </xf>
    <xf numFmtId="0" fontId="16" fillId="0" borderId="14" xfId="0" applyFont="1" applyBorder="1" applyAlignment="1" applyProtection="1">
      <alignment vertical="center" wrapText="1"/>
    </xf>
    <xf numFmtId="0" fontId="41" fillId="0" borderId="0" xfId="0" applyFont="1" applyBorder="1" applyAlignment="1" applyProtection="1">
      <alignment vertical="center" wrapText="1"/>
    </xf>
    <xf numFmtId="0" fontId="41" fillId="0" borderId="0" xfId="0" applyFont="1" applyBorder="1" applyAlignment="1" applyProtection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0</xdr:row>
      <xdr:rowOff>167640</xdr:rowOff>
    </xdr:from>
    <xdr:to>
      <xdr:col>8</xdr:col>
      <xdr:colOff>594360</xdr:colOff>
      <xdr:row>4</xdr:row>
      <xdr:rowOff>83820</xdr:rowOff>
    </xdr:to>
    <xdr:pic>
      <xdr:nvPicPr>
        <xdr:cNvPr id="4149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5260" y="167640"/>
          <a:ext cx="1874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2638425</xdr:colOff>
      <xdr:row>20</xdr:row>
      <xdr:rowOff>104866</xdr:rowOff>
    </xdr:from>
    <xdr:ext cx="287323" cy="269369"/>
    <xdr:sp macro="" textlink="">
      <xdr:nvSpPr>
        <xdr:cNvPr id="1026" name="Text Box 2"/>
        <xdr:cNvSpPr txBox="1">
          <a:spLocks noChangeArrowheads="1"/>
        </xdr:cNvSpPr>
      </xdr:nvSpPr>
      <xdr:spPr bwMode="auto">
        <a:xfrm rot="582644">
          <a:off x="3971925" y="5162641"/>
          <a:ext cx="287323" cy="269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oneCellAnchor>
  <xdr:twoCellAnchor>
    <xdr:from>
      <xdr:col>1</xdr:col>
      <xdr:colOff>541020</xdr:colOff>
      <xdr:row>16</xdr:row>
      <xdr:rowOff>144780</xdr:rowOff>
    </xdr:from>
    <xdr:to>
      <xdr:col>3</xdr:col>
      <xdr:colOff>76200</xdr:colOff>
      <xdr:row>31</xdr:row>
      <xdr:rowOff>68580</xdr:rowOff>
    </xdr:to>
    <xdr:grpSp>
      <xdr:nvGrpSpPr>
        <xdr:cNvPr id="6910" name="Gruppieren 215"/>
        <xdr:cNvGrpSpPr>
          <a:grpSpLocks/>
        </xdr:cNvGrpSpPr>
      </xdr:nvGrpSpPr>
      <xdr:grpSpPr bwMode="auto">
        <a:xfrm>
          <a:off x="1169670" y="4440555"/>
          <a:ext cx="4459605" cy="3705225"/>
          <a:chOff x="0" y="0"/>
          <a:chExt cx="55186" cy="37522"/>
        </a:xfrm>
      </xdr:grpSpPr>
      <xdr:sp macro="" textlink="">
        <xdr:nvSpPr>
          <xdr:cNvPr id="6917" name="Richtungspfeil 20"/>
          <xdr:cNvSpPr>
            <a:spLocks noChangeArrowheads="1"/>
          </xdr:cNvSpPr>
        </xdr:nvSpPr>
        <xdr:spPr bwMode="auto">
          <a:xfrm rot="-5400000">
            <a:off x="20620" y="27230"/>
            <a:ext cx="5959" cy="4357"/>
          </a:xfrm>
          <a:prstGeom prst="homePlate">
            <a:avLst>
              <a:gd name="adj" fmla="val 19812"/>
            </a:avLst>
          </a:prstGeom>
          <a:blipFill dpi="0" rotWithShape="0">
            <a:blip xmlns:r="http://schemas.openxmlformats.org/officeDocument/2006/relationships" r:embed="rId1"/>
            <a:srcRect/>
            <a:tile tx="0" ty="0" sx="100000" sy="100000" flip="none" algn="tl"/>
          </a:blip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18" name="Gerader Verbinder 4"/>
          <xdr:cNvSpPr>
            <a:spLocks noChangeShapeType="1"/>
          </xdr:cNvSpPr>
        </xdr:nvSpPr>
        <xdr:spPr bwMode="auto">
          <a:xfrm>
            <a:off x="5509" y="1992"/>
            <a:ext cx="42006" cy="6906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19" name="Gerader Verbinder 5"/>
          <xdr:cNvSpPr>
            <a:spLocks noChangeShapeType="1"/>
          </xdr:cNvSpPr>
        </xdr:nvSpPr>
        <xdr:spPr bwMode="auto">
          <a:xfrm flipH="1">
            <a:off x="6564" y="0"/>
            <a:ext cx="2667" cy="14620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0" name="Gerader Verbinder 6"/>
          <xdr:cNvSpPr>
            <a:spLocks noChangeShapeType="1"/>
          </xdr:cNvSpPr>
        </xdr:nvSpPr>
        <xdr:spPr bwMode="auto">
          <a:xfrm>
            <a:off x="7795" y="1113"/>
            <a:ext cx="2001" cy="3143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1" name="Gerader Verbinder 7"/>
          <xdr:cNvSpPr>
            <a:spLocks noChangeShapeType="1"/>
          </xdr:cNvSpPr>
        </xdr:nvSpPr>
        <xdr:spPr bwMode="auto">
          <a:xfrm flipH="1">
            <a:off x="42085" y="5744"/>
            <a:ext cx="2667" cy="14430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2" name="Gerader Verbinder 8"/>
          <xdr:cNvSpPr>
            <a:spLocks noChangeShapeType="1"/>
          </xdr:cNvSpPr>
        </xdr:nvSpPr>
        <xdr:spPr bwMode="auto">
          <a:xfrm>
            <a:off x="43199" y="6623"/>
            <a:ext cx="2191" cy="3286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3" name="Gerader Verbinder 9"/>
          <xdr:cNvSpPr>
            <a:spLocks noChangeShapeType="1"/>
          </xdr:cNvSpPr>
        </xdr:nvSpPr>
        <xdr:spPr bwMode="auto">
          <a:xfrm flipH="1">
            <a:off x="41734" y="9906"/>
            <a:ext cx="1476" cy="16335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4" name="Gerader Verbinder 10"/>
          <xdr:cNvSpPr>
            <a:spLocks noChangeShapeType="1"/>
          </xdr:cNvSpPr>
        </xdr:nvSpPr>
        <xdr:spPr bwMode="auto">
          <a:xfrm flipH="1" flipV="1">
            <a:off x="39741" y="9495"/>
            <a:ext cx="3476" cy="381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5" name="Gerader Verbinder 11"/>
          <xdr:cNvSpPr>
            <a:spLocks noChangeShapeType="1"/>
          </xdr:cNvSpPr>
        </xdr:nvSpPr>
        <xdr:spPr bwMode="auto">
          <a:xfrm flipH="1" flipV="1">
            <a:off x="38393" y="25849"/>
            <a:ext cx="3333" cy="378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6" name="Gerader Verbinder 12"/>
          <xdr:cNvSpPr>
            <a:spLocks noChangeShapeType="1"/>
          </xdr:cNvSpPr>
        </xdr:nvSpPr>
        <xdr:spPr bwMode="auto">
          <a:xfrm>
            <a:off x="1230" y="10785"/>
            <a:ext cx="52959" cy="8525"/>
          </a:xfrm>
          <a:prstGeom prst="line">
            <a:avLst/>
          </a:prstGeom>
          <a:noFill/>
          <a:ln w="12700">
            <a:solidFill>
              <a:srgbClr val="000000"/>
            </a:solidFill>
            <a:prstDash val="lgDash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7" name="Freihandform 14"/>
          <xdr:cNvSpPr>
            <a:spLocks/>
          </xdr:cNvSpPr>
        </xdr:nvSpPr>
        <xdr:spPr bwMode="auto">
          <a:xfrm>
            <a:off x="1465" y="10785"/>
            <a:ext cx="53721" cy="6615"/>
          </a:xfrm>
          <a:custGeom>
            <a:avLst/>
            <a:gdLst>
              <a:gd name="T0" fmla="*/ 0 w 5372144"/>
              <a:gd name="T1" fmla="*/ 0 h 661988"/>
              <a:gd name="T2" fmla="*/ 0 w 5372144"/>
              <a:gd name="T3" fmla="*/ 0 h 661988"/>
              <a:gd name="T4" fmla="*/ 0 w 5372144"/>
              <a:gd name="T5" fmla="*/ 0 h 661988"/>
              <a:gd name="T6" fmla="*/ 0 w 5372144"/>
              <a:gd name="T7" fmla="*/ 0 h 661988"/>
              <a:gd name="T8" fmla="*/ 0 w 5372144"/>
              <a:gd name="T9" fmla="*/ 0 h 661988"/>
              <a:gd name="T10" fmla="*/ 0 w 5372144"/>
              <a:gd name="T11" fmla="*/ 0 h 661988"/>
              <a:gd name="T12" fmla="*/ 0 w 5372144"/>
              <a:gd name="T13" fmla="*/ 0 h 661988"/>
              <a:gd name="T14" fmla="*/ 0 w 5372144"/>
              <a:gd name="T15" fmla="*/ 0 h 661988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0" t="0" r="r" b="b"/>
            <a:pathLst>
              <a:path w="5372144" h="661988">
                <a:moveTo>
                  <a:pt x="0" y="0"/>
                </a:moveTo>
                <a:lnTo>
                  <a:pt x="571500" y="85725"/>
                </a:lnTo>
                <a:lnTo>
                  <a:pt x="5300663" y="66675"/>
                </a:lnTo>
                <a:cubicBezTo>
                  <a:pt x="5345902" y="71406"/>
                  <a:pt x="5357812" y="97631"/>
                  <a:pt x="5367338" y="171450"/>
                </a:cubicBezTo>
                <a:cubicBezTo>
                  <a:pt x="5376864" y="245269"/>
                  <a:pt x="5254626" y="427832"/>
                  <a:pt x="5243513" y="509588"/>
                </a:cubicBezTo>
                <a:cubicBezTo>
                  <a:pt x="5232401" y="591344"/>
                  <a:pt x="5238751" y="638956"/>
                  <a:pt x="5300663" y="661988"/>
                </a:cubicBezTo>
                <a:cubicBezTo>
                  <a:pt x="5353047" y="625390"/>
                  <a:pt x="5372916" y="581819"/>
                  <a:pt x="5372122" y="533400"/>
                </a:cubicBezTo>
                <a:cubicBezTo>
                  <a:pt x="5371328" y="484981"/>
                  <a:pt x="5352654" y="432997"/>
                  <a:pt x="5295900" y="371475"/>
                </a:cubicBezTo>
              </a:path>
            </a:pathLst>
          </a:custGeom>
          <a:noFill/>
          <a:ln w="190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928" name="Gerader Verbinder 15"/>
          <xdr:cNvSpPr>
            <a:spLocks noChangeShapeType="1"/>
          </xdr:cNvSpPr>
        </xdr:nvSpPr>
        <xdr:spPr bwMode="auto">
          <a:xfrm flipH="1">
            <a:off x="42554" y="17408"/>
            <a:ext cx="12002" cy="0"/>
          </a:xfrm>
          <a:prstGeom prst="line">
            <a:avLst/>
          </a:prstGeom>
          <a:noFill/>
          <a:ln w="190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29" name="Freihandform 16"/>
          <xdr:cNvSpPr>
            <a:spLocks/>
          </xdr:cNvSpPr>
        </xdr:nvSpPr>
        <xdr:spPr bwMode="auto">
          <a:xfrm>
            <a:off x="42496" y="17408"/>
            <a:ext cx="12425" cy="7719"/>
          </a:xfrm>
          <a:custGeom>
            <a:avLst/>
            <a:gdLst>
              <a:gd name="T0" fmla="*/ 0 w 1242507"/>
              <a:gd name="T1" fmla="*/ 0 h 771905"/>
              <a:gd name="T2" fmla="*/ 0 w 1242507"/>
              <a:gd name="T3" fmla="*/ 0 h 771905"/>
              <a:gd name="T4" fmla="*/ 0 w 1242507"/>
              <a:gd name="T5" fmla="*/ 0 h 771905"/>
              <a:gd name="T6" fmla="*/ 0 w 1242507"/>
              <a:gd name="T7" fmla="*/ 0 h 771905"/>
              <a:gd name="T8" fmla="*/ 0 w 1242507"/>
              <a:gd name="T9" fmla="*/ 0 h 771905"/>
              <a:gd name="T10" fmla="*/ 0 w 1242507"/>
              <a:gd name="T11" fmla="*/ 0 h 771905"/>
              <a:gd name="T12" fmla="*/ 0 w 1242507"/>
              <a:gd name="T13" fmla="*/ 0 h 771905"/>
              <a:gd name="T14" fmla="*/ 0 w 1242507"/>
              <a:gd name="T15" fmla="*/ 0 h 771905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0" t="0" r="r" b="b"/>
            <a:pathLst>
              <a:path w="1242507" h="771905">
                <a:moveTo>
                  <a:pt x="0" y="0"/>
                </a:moveTo>
                <a:lnTo>
                  <a:pt x="1197769" y="195262"/>
                </a:lnTo>
                <a:cubicBezTo>
                  <a:pt x="1245745" y="222249"/>
                  <a:pt x="1252145" y="265113"/>
                  <a:pt x="1231106" y="311944"/>
                </a:cubicBezTo>
                <a:cubicBezTo>
                  <a:pt x="1210067" y="358775"/>
                  <a:pt x="1169988" y="409575"/>
                  <a:pt x="1143000" y="461962"/>
                </a:cubicBezTo>
                <a:cubicBezTo>
                  <a:pt x="1116013" y="514349"/>
                  <a:pt x="1075531" y="574674"/>
                  <a:pt x="1069181" y="626268"/>
                </a:cubicBezTo>
                <a:cubicBezTo>
                  <a:pt x="1062831" y="677862"/>
                  <a:pt x="1050515" y="728663"/>
                  <a:pt x="1104900" y="771525"/>
                </a:cubicBezTo>
                <a:cubicBezTo>
                  <a:pt x="1147374" y="776287"/>
                  <a:pt x="1173163" y="735805"/>
                  <a:pt x="1181100" y="683418"/>
                </a:cubicBezTo>
                <a:cubicBezTo>
                  <a:pt x="1189037" y="631031"/>
                  <a:pt x="1182691" y="544115"/>
                  <a:pt x="1152525" y="457200"/>
                </a:cubicBezTo>
              </a:path>
            </a:pathLst>
          </a:custGeom>
          <a:noFill/>
          <a:ln w="190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930" name="Freihandform 17"/>
          <xdr:cNvSpPr>
            <a:spLocks/>
          </xdr:cNvSpPr>
        </xdr:nvSpPr>
        <xdr:spPr bwMode="auto">
          <a:xfrm>
            <a:off x="0" y="10726"/>
            <a:ext cx="53612" cy="14430"/>
          </a:xfrm>
          <a:custGeom>
            <a:avLst/>
            <a:gdLst>
              <a:gd name="T0" fmla="*/ 0 w 5361291"/>
              <a:gd name="T1" fmla="*/ 0 h 1443037"/>
              <a:gd name="T2" fmla="*/ 0 w 5361291"/>
              <a:gd name="T3" fmla="*/ 0 h 1443037"/>
              <a:gd name="T4" fmla="*/ 0 w 5361291"/>
              <a:gd name="T5" fmla="*/ 0 h 1443037"/>
              <a:gd name="T6" fmla="*/ 0 w 5361291"/>
              <a:gd name="T7" fmla="*/ 0 h 1443037"/>
              <a:gd name="T8" fmla="*/ 0 w 5361291"/>
              <a:gd name="T9" fmla="*/ 0 h 1443037"/>
              <a:gd name="T10" fmla="*/ 0 w 5361291"/>
              <a:gd name="T11" fmla="*/ 0 h 1443037"/>
              <a:gd name="T12" fmla="*/ 0 w 5361291"/>
              <a:gd name="T13" fmla="*/ 0 h 1443037"/>
              <a:gd name="T14" fmla="*/ 0 w 5361291"/>
              <a:gd name="T15" fmla="*/ 0 h 144303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0" t="0" r="r" b="b"/>
            <a:pathLst>
              <a:path w="5361291" h="1443037">
                <a:moveTo>
                  <a:pt x="5361291" y="1443037"/>
                </a:moveTo>
                <a:lnTo>
                  <a:pt x="27291" y="561975"/>
                </a:lnTo>
                <a:cubicBezTo>
                  <a:pt x="-19148" y="539359"/>
                  <a:pt x="4358" y="478626"/>
                  <a:pt x="20148" y="426238"/>
                </a:cubicBezTo>
                <a:cubicBezTo>
                  <a:pt x="35939" y="373850"/>
                  <a:pt x="95444" y="301225"/>
                  <a:pt x="122034" y="247648"/>
                </a:cubicBezTo>
                <a:cubicBezTo>
                  <a:pt x="148624" y="194071"/>
                  <a:pt x="182782" y="146050"/>
                  <a:pt x="179691" y="104775"/>
                </a:cubicBezTo>
                <a:cubicBezTo>
                  <a:pt x="176601" y="63500"/>
                  <a:pt x="176519" y="2384"/>
                  <a:pt x="103491" y="0"/>
                </a:cubicBezTo>
                <a:cubicBezTo>
                  <a:pt x="56657" y="4762"/>
                  <a:pt x="31260" y="82550"/>
                  <a:pt x="27291" y="133350"/>
                </a:cubicBezTo>
                <a:cubicBezTo>
                  <a:pt x="23322" y="184150"/>
                  <a:pt x="41974" y="218276"/>
                  <a:pt x="79678" y="304800"/>
                </a:cubicBezTo>
              </a:path>
            </a:pathLst>
          </a:custGeom>
          <a:noFill/>
          <a:ln w="190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931" name="Ellipse 18"/>
          <xdr:cNvSpPr>
            <a:spLocks noChangeArrowheads="1"/>
          </xdr:cNvSpPr>
        </xdr:nvSpPr>
        <xdr:spPr bwMode="auto">
          <a:xfrm>
            <a:off x="16338" y="26318"/>
            <a:ext cx="14886" cy="11204"/>
          </a:xfrm>
          <a:prstGeom prst="ellips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932" name="Ellipse 19"/>
          <xdr:cNvSpPr>
            <a:spLocks noChangeArrowheads="1"/>
          </xdr:cNvSpPr>
        </xdr:nvSpPr>
        <xdr:spPr bwMode="auto">
          <a:xfrm>
            <a:off x="20197" y="32145"/>
            <a:ext cx="6912" cy="5241"/>
          </a:xfrm>
          <a:prstGeom prst="ellipse">
            <a:avLst/>
          </a:prstGeom>
          <a:blipFill dpi="0" rotWithShape="0">
            <a:blip xmlns:r="http://schemas.openxmlformats.org/officeDocument/2006/relationships" r:embed="rId1"/>
            <a:srcRect/>
            <a:tile tx="0" ty="0" sx="100000" sy="100000" flip="none" algn="tl"/>
          </a:blipFill>
          <a:ln w="1270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6933" name="Gerader Verbinder 21"/>
          <xdr:cNvSpPr>
            <a:spLocks noChangeShapeType="1"/>
          </xdr:cNvSpPr>
        </xdr:nvSpPr>
        <xdr:spPr bwMode="auto">
          <a:xfrm flipV="1">
            <a:off x="15086" y="27149"/>
            <a:ext cx="15145" cy="9501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34" name="Gerader Verbinder 22"/>
          <xdr:cNvSpPr>
            <a:spLocks noChangeShapeType="1"/>
          </xdr:cNvSpPr>
        </xdr:nvSpPr>
        <xdr:spPr bwMode="auto">
          <a:xfrm>
            <a:off x="27445" y="27893"/>
            <a:ext cx="3143" cy="357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35" name="Gerader Verbinder 23"/>
          <xdr:cNvSpPr>
            <a:spLocks noChangeShapeType="1"/>
          </xdr:cNvSpPr>
        </xdr:nvSpPr>
        <xdr:spPr bwMode="auto">
          <a:xfrm>
            <a:off x="16391" y="34700"/>
            <a:ext cx="2953" cy="738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cxnSp macro="">
        <xdr:nvCxnSpPr>
          <xdr:cNvPr id="6936" name="Gerade Verbindung mit Pfeil 25"/>
          <xdr:cNvCxnSpPr>
            <a:cxnSpLocks noChangeShapeType="1"/>
          </xdr:cNvCxnSpPr>
        </xdr:nvCxnSpPr>
        <xdr:spPr bwMode="auto">
          <a:xfrm>
            <a:off x="20046" y="23328"/>
            <a:ext cx="922" cy="2853"/>
          </a:xfrm>
          <a:prstGeom prst="straightConnector1">
            <a:avLst/>
          </a:prstGeom>
          <a:noFill/>
          <a:ln w="12700">
            <a:solidFill>
              <a:srgbClr val="000000"/>
            </a:solidFill>
            <a:miter lim="800000"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6937" name="Gerader Verbinder 26"/>
          <xdr:cNvSpPr>
            <a:spLocks noChangeShapeType="1"/>
          </xdr:cNvSpPr>
        </xdr:nvSpPr>
        <xdr:spPr bwMode="auto">
          <a:xfrm flipH="1">
            <a:off x="18053" y="23387"/>
            <a:ext cx="2019" cy="0"/>
          </a:xfrm>
          <a:prstGeom prst="line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1333500</xdr:colOff>
      <xdr:row>16</xdr:row>
      <xdr:rowOff>0</xdr:rowOff>
    </xdr:from>
    <xdr:to>
      <xdr:col>2</xdr:col>
      <xdr:colOff>3212124</xdr:colOff>
      <xdr:row>18</xdr:row>
      <xdr:rowOff>152400</xdr:rowOff>
    </xdr:to>
    <xdr:sp macro="" textlink="">
      <xdr:nvSpPr>
        <xdr:cNvPr id="1049" name="Text Box 25"/>
        <xdr:cNvSpPr txBox="1">
          <a:spLocks noChangeArrowheads="1"/>
        </xdr:cNvSpPr>
      </xdr:nvSpPr>
      <xdr:spPr bwMode="auto">
        <a:xfrm rot="582644">
          <a:off x="2581275" y="3000375"/>
          <a:ext cx="18573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Length of junction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maximum 100 mm</a:t>
          </a:r>
        </a:p>
      </xdr:txBody>
    </xdr:sp>
    <xdr:clientData/>
  </xdr:twoCellAnchor>
  <xdr:twoCellAnchor>
    <xdr:from>
      <xdr:col>2</xdr:col>
      <xdr:colOff>1874520</xdr:colOff>
      <xdr:row>23</xdr:row>
      <xdr:rowOff>133350</xdr:rowOff>
    </xdr:from>
    <xdr:to>
      <xdr:col>2</xdr:col>
      <xdr:colOff>3771608</xdr:colOff>
      <xdr:row>25</xdr:row>
      <xdr:rowOff>48252</xdr:rowOff>
    </xdr:to>
    <xdr:sp macro="" textlink="">
      <xdr:nvSpPr>
        <xdr:cNvPr id="1050" name="Text Box 26"/>
        <xdr:cNvSpPr txBox="1">
          <a:spLocks noChangeArrowheads="1"/>
        </xdr:cNvSpPr>
      </xdr:nvSpPr>
      <xdr:spPr bwMode="auto">
        <a:xfrm rot="582644">
          <a:off x="3114675" y="4533900"/>
          <a:ext cx="18573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Junction</a:t>
          </a:r>
        </a:p>
      </xdr:txBody>
    </xdr:sp>
    <xdr:clientData/>
  </xdr:twoCellAnchor>
  <xdr:oneCellAnchor>
    <xdr:from>
      <xdr:col>1</xdr:col>
      <xdr:colOff>678180</xdr:colOff>
      <xdr:row>26</xdr:row>
      <xdr:rowOff>150495</xdr:rowOff>
    </xdr:from>
    <xdr:ext cx="1151405" cy="269369"/>
    <xdr:sp macro="" textlink="">
      <xdr:nvSpPr>
        <xdr:cNvPr id="1051" name="Text Box 27"/>
        <xdr:cNvSpPr txBox="1">
          <a:spLocks noChangeArrowheads="1"/>
        </xdr:cNvSpPr>
      </xdr:nvSpPr>
      <xdr:spPr bwMode="auto">
        <a:xfrm>
          <a:off x="1306830" y="6570345"/>
          <a:ext cx="1151405" cy="269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Section A – A‘</a:t>
          </a:r>
        </a:p>
      </xdr:txBody>
    </xdr:sp>
    <xdr:clientData/>
  </xdr:oneCellAnchor>
  <xdr:oneCellAnchor>
    <xdr:from>
      <xdr:col>2</xdr:col>
      <xdr:colOff>2476500</xdr:colOff>
      <xdr:row>26</xdr:row>
      <xdr:rowOff>79196</xdr:rowOff>
    </xdr:from>
    <xdr:ext cx="321498" cy="269369"/>
    <xdr:sp macro="" textlink="">
      <xdr:nvSpPr>
        <xdr:cNvPr id="1052" name="Text Box 28"/>
        <xdr:cNvSpPr txBox="1">
          <a:spLocks noChangeArrowheads="1"/>
        </xdr:cNvSpPr>
      </xdr:nvSpPr>
      <xdr:spPr bwMode="auto">
        <a:xfrm rot="582644">
          <a:off x="3810000" y="6499046"/>
          <a:ext cx="321498" cy="269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A‘</a:t>
          </a:r>
        </a:p>
      </xdr:txBody>
    </xdr:sp>
    <xdr:clientData/>
  </xdr:oneCellAnchor>
  <xdr:twoCellAnchor>
    <xdr:from>
      <xdr:col>1</xdr:col>
      <xdr:colOff>666750</xdr:colOff>
      <xdr:row>26</xdr:row>
      <xdr:rowOff>457200</xdr:rowOff>
    </xdr:from>
    <xdr:to>
      <xdr:col>2</xdr:col>
      <xdr:colOff>1691328</xdr:colOff>
      <xdr:row>26</xdr:row>
      <xdr:rowOff>457200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238250" y="5676900"/>
          <a:ext cx="17145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40 mm maximum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1379220</xdr:colOff>
      <xdr:row>2</xdr:row>
      <xdr:rowOff>297180</xdr:rowOff>
    </xdr:to>
    <xdr:pic>
      <xdr:nvPicPr>
        <xdr:cNvPr id="6916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175260"/>
          <a:ext cx="137922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693420</xdr:colOff>
      <xdr:row>2</xdr:row>
      <xdr:rowOff>38100</xdr:rowOff>
    </xdr:from>
    <xdr:to>
      <xdr:col>8</xdr:col>
      <xdr:colOff>845820</xdr:colOff>
      <xdr:row>5</xdr:row>
      <xdr:rowOff>45720</xdr:rowOff>
    </xdr:to>
    <xdr:pic>
      <xdr:nvPicPr>
        <xdr:cNvPr id="2108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388620"/>
          <a:ext cx="176022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7"/>
  <sheetViews>
    <sheetView tabSelected="1" workbookViewId="0">
      <selection activeCell="E8" sqref="E8"/>
    </sheetView>
  </sheetViews>
  <sheetFormatPr baseColWidth="10" defaultColWidth="9.109375" defaultRowHeight="13.8" x14ac:dyDescent="0.25"/>
  <cols>
    <col min="1" max="2" width="9.109375" style="96"/>
    <col min="3" max="3" width="13" style="96" customWidth="1"/>
    <col min="4" max="16384" width="9.109375" style="96"/>
  </cols>
  <sheetData>
    <row r="2" spans="2:3" s="98" customFormat="1" ht="40.5" customHeight="1" x14ac:dyDescent="0.4">
      <c r="B2" s="142" t="s">
        <v>181</v>
      </c>
    </row>
    <row r="3" spans="2:3" x14ac:dyDescent="0.25">
      <c r="B3" s="187"/>
      <c r="C3" s="188"/>
    </row>
    <row r="5" spans="2:3" x14ac:dyDescent="0.25">
      <c r="B5" s="96" t="s">
        <v>180</v>
      </c>
    </row>
    <row r="7" spans="2:3" ht="15" x14ac:dyDescent="0.25">
      <c r="B7" s="143" t="s">
        <v>175</v>
      </c>
    </row>
  </sheetData>
  <sheetProtection algorithmName="SHA-512" hashValue="LGZH4f/4LqzhB+uOucfn8pk4dAMXiUwYNWuq98L2CgyLKDTM8wm+8YFO/uGUnPWhI4F0/A4cpYJ3HiZZge7B2A==" saltValue="xsZiYa4cqQ/BnlYuD+nSZQ==" spinCount="100000" sheet="1" objects="1" scenarios="1" selectLockedCells="1"/>
  <phoneticPr fontId="33" type="noConversion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9"/>
  <sheetViews>
    <sheetView workbookViewId="0">
      <selection activeCell="D2" sqref="D2"/>
    </sheetView>
  </sheetViews>
  <sheetFormatPr baseColWidth="10" defaultColWidth="9.109375" defaultRowHeight="13.8" x14ac:dyDescent="0.25"/>
  <cols>
    <col min="1" max="1" width="9.109375" style="96"/>
    <col min="2" max="2" width="22.88671875" style="96" customWidth="1"/>
    <col min="3" max="3" width="58.5546875" style="96" customWidth="1"/>
    <col min="4" max="4" width="58.6640625" style="96" customWidth="1"/>
    <col min="5" max="16384" width="9.109375" style="96"/>
  </cols>
  <sheetData>
    <row r="2" spans="2:10" ht="32.4" x14ac:dyDescent="0.55000000000000004">
      <c r="B2" s="95" t="s">
        <v>131</v>
      </c>
      <c r="D2" s="180" t="s">
        <v>153</v>
      </c>
      <c r="H2" s="99"/>
      <c r="I2" s="15"/>
      <c r="J2" s="90"/>
    </row>
    <row r="3" spans="2:10" s="99" customFormat="1" ht="26.25" customHeight="1" x14ac:dyDescent="0.4">
      <c r="B3" s="94" t="s">
        <v>176</v>
      </c>
      <c r="C3" s="96"/>
      <c r="D3" s="96"/>
      <c r="E3" s="96"/>
      <c r="F3" s="96"/>
      <c r="G3" s="96"/>
      <c r="I3" s="15"/>
    </row>
    <row r="4" spans="2:10" s="85" customFormat="1" ht="22.8" x14ac:dyDescent="0.4">
      <c r="B4" s="192" t="s">
        <v>94</v>
      </c>
    </row>
    <row r="5" spans="2:10" ht="14.4" x14ac:dyDescent="0.3">
      <c r="B5" s="97" t="str">
        <f>'status of this document'!B2</f>
        <v>Release version 1</v>
      </c>
      <c r="D5" s="97" t="str">
        <f>B5</f>
        <v>Release version 1</v>
      </c>
    </row>
    <row r="6" spans="2:10" ht="16.8" x14ac:dyDescent="0.3">
      <c r="B6" s="81" t="s">
        <v>133</v>
      </c>
      <c r="C6" s="81" t="s">
        <v>95</v>
      </c>
      <c r="D6" s="180"/>
    </row>
    <row r="7" spans="2:10" ht="15" x14ac:dyDescent="0.25">
      <c r="B7" s="82"/>
    </row>
    <row r="8" spans="2:10" ht="89.25" customHeight="1" x14ac:dyDescent="0.25">
      <c r="B8" s="84" t="s">
        <v>134</v>
      </c>
      <c r="C8" s="83" t="s">
        <v>146</v>
      </c>
      <c r="D8" s="180"/>
    </row>
    <row r="9" spans="2:10" ht="69.900000000000006" customHeight="1" x14ac:dyDescent="0.25">
      <c r="B9" s="84" t="s">
        <v>135</v>
      </c>
      <c r="C9" s="83" t="s">
        <v>96</v>
      </c>
      <c r="D9" s="180"/>
    </row>
    <row r="10" spans="2:10" ht="102.75" customHeight="1" x14ac:dyDescent="0.3">
      <c r="B10" s="84" t="s">
        <v>136</v>
      </c>
      <c r="C10" s="83" t="s">
        <v>168</v>
      </c>
      <c r="D10" s="180"/>
    </row>
    <row r="11" spans="2:10" ht="69.900000000000006" customHeight="1" x14ac:dyDescent="0.3">
      <c r="B11" s="84" t="s">
        <v>137</v>
      </c>
      <c r="C11" s="83" t="s">
        <v>148</v>
      </c>
      <c r="D11" s="180"/>
    </row>
    <row r="13" spans="2:10" ht="14.4" x14ac:dyDescent="0.3">
      <c r="B13" s="97" t="str">
        <f>'status of this document'!B5</f>
        <v>Effective 1st April 2018</v>
      </c>
      <c r="C13" s="168" t="str">
        <f>'status of this document'!B7</f>
        <v>© 2018, IRSA</v>
      </c>
    </row>
    <row r="29" spans="3:3" x14ac:dyDescent="0.25">
      <c r="C29" s="166"/>
    </row>
  </sheetData>
  <sheetProtection algorithmName="SHA-512" hashValue="H6gDHdvpkkB98ZRkCdoUS9qoNyovUoh2vHE1bcebQLailjehbTnNhcnVScznj+ldlXNYUj1A9QY4JveHXJl1YA==" saltValue="6eL/l/v2XOK+1HWOLP4dSQ==" spinCount="100000" sheet="1" objects="1" scenarios="1" selectLockedCells="1"/>
  <phoneticPr fontId="33" type="noConversion"/>
  <pageMargins left="0.74803149606299213" right="0.74803149606299213" top="0.98425196850393704" bottom="0.98425196850393704" header="0.51181102362204722" footer="0.51181102362204722"/>
  <pageSetup paperSize="9" scale="95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79"/>
  <sheetViews>
    <sheetView zoomScale="80" zoomScaleNormal="80" workbookViewId="0">
      <selection activeCell="E4" sqref="E4"/>
    </sheetView>
  </sheetViews>
  <sheetFormatPr baseColWidth="10" defaultColWidth="9.109375" defaultRowHeight="13.8" x14ac:dyDescent="0.25"/>
  <cols>
    <col min="1" max="1" width="9.109375" style="99"/>
    <col min="2" max="2" width="10.33203125" style="99" customWidth="1"/>
    <col min="3" max="3" width="61.5546875" style="99" customWidth="1"/>
    <col min="4" max="4" width="10.6640625" style="99" customWidth="1"/>
    <col min="5" max="5" width="56.6640625" style="99" customWidth="1"/>
    <col min="6" max="6" width="12" style="99" customWidth="1"/>
    <col min="7" max="7" width="12.109375" style="99" customWidth="1"/>
    <col min="8" max="9" width="9.109375" style="99"/>
    <col min="10" max="10" width="10.6640625" style="99" customWidth="1"/>
    <col min="11" max="11" width="9.109375" style="99"/>
    <col min="12" max="12" width="15.44140625" style="99" customWidth="1"/>
    <col min="13" max="13" width="18" style="99" customWidth="1"/>
    <col min="14" max="16384" width="9.109375" style="99"/>
  </cols>
  <sheetData>
    <row r="2" spans="2:5" ht="30" x14ac:dyDescent="0.5">
      <c r="B2" s="194" t="s">
        <v>131</v>
      </c>
      <c r="C2" s="194"/>
      <c r="D2" s="194"/>
    </row>
    <row r="3" spans="2:5" ht="24.6" x14ac:dyDescent="0.4">
      <c r="B3" s="195" t="s">
        <v>177</v>
      </c>
      <c r="C3" s="195"/>
      <c r="D3" s="195"/>
    </row>
    <row r="4" spans="2:5" ht="24.6" x14ac:dyDescent="0.4">
      <c r="B4" s="177"/>
      <c r="C4" s="177"/>
      <c r="D4" s="177"/>
      <c r="E4" s="180" t="s">
        <v>153</v>
      </c>
    </row>
    <row r="5" spans="2:5" s="148" customFormat="1" ht="22.8" x14ac:dyDescent="0.4">
      <c r="B5" s="191" t="s">
        <v>103</v>
      </c>
      <c r="E5" s="179"/>
    </row>
    <row r="6" spans="2:5" ht="14.4" x14ac:dyDescent="0.3">
      <c r="B6" s="149" t="str">
        <f>'status of this document'!B2</f>
        <v>Release version 1</v>
      </c>
      <c r="E6" s="149" t="str">
        <f>B6</f>
        <v>Release version 1</v>
      </c>
    </row>
    <row r="7" spans="2:5" ht="15" x14ac:dyDescent="0.25">
      <c r="B7" s="150" t="s">
        <v>98</v>
      </c>
      <c r="C7" s="150" t="s">
        <v>99</v>
      </c>
      <c r="E7" s="180"/>
    </row>
    <row r="8" spans="2:5" ht="42" customHeight="1" x14ac:dyDescent="0.25">
      <c r="B8" s="151" t="s">
        <v>100</v>
      </c>
      <c r="C8" s="152" t="s">
        <v>169</v>
      </c>
      <c r="E8" s="180"/>
    </row>
    <row r="9" spans="2:5" ht="45.75" customHeight="1" x14ac:dyDescent="0.25">
      <c r="B9" s="151" t="s">
        <v>142</v>
      </c>
      <c r="C9" s="152" t="s">
        <v>170</v>
      </c>
      <c r="E9" s="180"/>
    </row>
    <row r="11" spans="2:5" ht="17.399999999999999" x14ac:dyDescent="0.3">
      <c r="B11" s="153" t="s">
        <v>101</v>
      </c>
      <c r="E11" s="180"/>
    </row>
    <row r="12" spans="2:5" ht="15" x14ac:dyDescent="0.25">
      <c r="B12" s="150"/>
    </row>
    <row r="13" spans="2:5" ht="15" x14ac:dyDescent="0.25">
      <c r="B13" s="150"/>
      <c r="C13" s="99" t="s">
        <v>182</v>
      </c>
      <c r="D13" s="189">
        <v>19</v>
      </c>
      <c r="E13" s="180"/>
    </row>
    <row r="14" spans="2:5" ht="15" x14ac:dyDescent="0.25">
      <c r="B14" s="150"/>
      <c r="C14" s="99" t="s">
        <v>183</v>
      </c>
      <c r="D14" s="189">
        <v>12</v>
      </c>
      <c r="E14" s="180"/>
    </row>
    <row r="15" spans="2:5" ht="15" x14ac:dyDescent="0.25">
      <c r="B15" s="150"/>
      <c r="C15" s="99" t="s">
        <v>184</v>
      </c>
      <c r="D15" s="189">
        <v>20</v>
      </c>
      <c r="E15" s="180"/>
    </row>
    <row r="16" spans="2:5" ht="15" x14ac:dyDescent="0.25">
      <c r="B16" s="150"/>
    </row>
    <row r="17" spans="2:17" ht="15" x14ac:dyDescent="0.25">
      <c r="B17" s="150"/>
    </row>
    <row r="18" spans="2:17" ht="15" x14ac:dyDescent="0.25">
      <c r="B18" s="150"/>
    </row>
    <row r="19" spans="2:17" ht="15" x14ac:dyDescent="0.25">
      <c r="B19" s="150" t="s">
        <v>102</v>
      </c>
    </row>
    <row r="20" spans="2:17" ht="15" x14ac:dyDescent="0.25">
      <c r="B20" s="150"/>
    </row>
    <row r="21" spans="2:17" ht="15" x14ac:dyDescent="0.25">
      <c r="B21" s="150"/>
      <c r="C21" s="166"/>
    </row>
    <row r="22" spans="2:17" ht="15" x14ac:dyDescent="0.25">
      <c r="B22" s="150"/>
    </row>
    <row r="23" spans="2:17" ht="15" x14ac:dyDescent="0.25">
      <c r="B23" s="150"/>
    </row>
    <row r="24" spans="2:17" ht="15" x14ac:dyDescent="0.25">
      <c r="B24" s="150"/>
    </row>
    <row r="25" spans="2:17" ht="17.399999999999999" x14ac:dyDescent="0.3">
      <c r="B25" s="153"/>
    </row>
    <row r="26" spans="2:17" ht="30" customHeight="1" x14ac:dyDescent="0.3">
      <c r="B26" s="153"/>
      <c r="C26" s="153"/>
    </row>
    <row r="27" spans="2:17" ht="74.25" customHeight="1" x14ac:dyDescent="0.25">
      <c r="F27" s="154" t="s">
        <v>104</v>
      </c>
      <c r="G27" s="154" t="s">
        <v>105</v>
      </c>
      <c r="H27" s="154" t="s">
        <v>106</v>
      </c>
      <c r="I27" s="154" t="s">
        <v>107</v>
      </c>
      <c r="J27" s="154" t="s">
        <v>108</v>
      </c>
      <c r="K27" s="154" t="s">
        <v>109</v>
      </c>
      <c r="L27" s="154" t="s">
        <v>110</v>
      </c>
      <c r="M27" s="154" t="s">
        <v>111</v>
      </c>
    </row>
    <row r="28" spans="2:17" ht="14.4" x14ac:dyDescent="0.3">
      <c r="E28" s="99" t="str">
        <f>IF(L28&gt;40, "MINIMUM COMBINED BOOM SPAR greater than 40 mm","")</f>
        <v/>
      </c>
      <c r="F28" s="155">
        <v>5</v>
      </c>
      <c r="G28" s="149">
        <f t="shared" ref="G28:G62" si="0">F28+$D$14</f>
        <v>17</v>
      </c>
      <c r="H28" s="156">
        <f t="shared" ref="H28:H62" si="1">$D$15/SIN(F28/57.3)</f>
        <v>229.49112537823518</v>
      </c>
      <c r="I28" s="156">
        <f t="shared" ref="I28:I62" si="2">$D$13/SIN(G28/57.3)</f>
        <v>64.990414421173185</v>
      </c>
      <c r="J28" s="156">
        <f>IF(I28&gt;0,H28+I28,999)</f>
        <v>294.48153979940838</v>
      </c>
      <c r="K28" s="149">
        <f>IF(J28=$J$64,1,0)</f>
        <v>0</v>
      </c>
      <c r="L28" s="157">
        <f>K28*J28</f>
        <v>0</v>
      </c>
      <c r="M28" s="157">
        <f>K28*F28</f>
        <v>0</v>
      </c>
    </row>
    <row r="29" spans="2:17" ht="14.4" x14ac:dyDescent="0.3">
      <c r="E29" s="99" t="str">
        <f t="shared" ref="E29:E62" si="3">IF(L29&gt;40, "MINIMUM COMBINED BOOM SPAR greater than 40 mm","")</f>
        <v/>
      </c>
      <c r="F29" s="149">
        <f>F28+5</f>
        <v>10</v>
      </c>
      <c r="G29" s="149">
        <f t="shared" si="0"/>
        <v>22</v>
      </c>
      <c r="H29" s="156">
        <f t="shared" si="1"/>
        <v>115.18380732611703</v>
      </c>
      <c r="I29" s="156">
        <f t="shared" si="2"/>
        <v>50.723426751858447</v>
      </c>
      <c r="J29" s="156">
        <f t="shared" ref="J29:J62" si="4">IF(I29&gt;0,H29+I29,999)</f>
        <v>165.90723407797549</v>
      </c>
      <c r="K29" s="149">
        <f t="shared" ref="K29:K62" si="5">IF(J29=$J$64,1,0)</f>
        <v>0</v>
      </c>
      <c r="L29" s="157">
        <f t="shared" ref="L29:L62" si="6">K29*J29</f>
        <v>0</v>
      </c>
      <c r="M29" s="157">
        <f t="shared" ref="M29:M62" si="7">K29*F29</f>
        <v>0</v>
      </c>
    </row>
    <row r="30" spans="2:17" ht="14.4" x14ac:dyDescent="0.3">
      <c r="E30" s="99" t="str">
        <f t="shared" si="3"/>
        <v/>
      </c>
      <c r="F30" s="149">
        <f t="shared" ref="F30:F62" si="8">F29+5</f>
        <v>15</v>
      </c>
      <c r="G30" s="149">
        <f t="shared" si="0"/>
        <v>27</v>
      </c>
      <c r="H30" s="156">
        <f t="shared" si="1"/>
        <v>77.279627581503135</v>
      </c>
      <c r="I30" s="156">
        <f t="shared" si="2"/>
        <v>41.853947199332517</v>
      </c>
      <c r="J30" s="156">
        <f t="shared" si="4"/>
        <v>119.13357478083566</v>
      </c>
      <c r="K30" s="149">
        <f t="shared" si="5"/>
        <v>0</v>
      </c>
      <c r="L30" s="157">
        <f t="shared" si="6"/>
        <v>0</v>
      </c>
      <c r="M30" s="157">
        <f t="shared" si="7"/>
        <v>0</v>
      </c>
      <c r="Q30" s="99" t="s">
        <v>1</v>
      </c>
    </row>
    <row r="31" spans="2:17" ht="14.4" x14ac:dyDescent="0.3">
      <c r="E31" s="99" t="str">
        <f t="shared" si="3"/>
        <v/>
      </c>
      <c r="F31" s="149">
        <f t="shared" si="8"/>
        <v>20</v>
      </c>
      <c r="G31" s="149">
        <f t="shared" si="0"/>
        <v>32</v>
      </c>
      <c r="H31" s="156">
        <f t="shared" si="1"/>
        <v>58.480219053287897</v>
      </c>
      <c r="I31" s="156">
        <f t="shared" si="2"/>
        <v>35.856878990560304</v>
      </c>
      <c r="J31" s="156">
        <f t="shared" si="4"/>
        <v>94.337098043848201</v>
      </c>
      <c r="K31" s="149">
        <f t="shared" si="5"/>
        <v>0</v>
      </c>
      <c r="L31" s="157">
        <f t="shared" si="6"/>
        <v>0</v>
      </c>
      <c r="M31" s="157">
        <f t="shared" si="7"/>
        <v>0</v>
      </c>
    </row>
    <row r="32" spans="2:17" ht="14.4" x14ac:dyDescent="0.3">
      <c r="E32" s="99" t="str">
        <f t="shared" si="3"/>
        <v/>
      </c>
      <c r="F32" s="158">
        <f t="shared" si="8"/>
        <v>25</v>
      </c>
      <c r="G32" s="149">
        <f t="shared" si="0"/>
        <v>37</v>
      </c>
      <c r="H32" s="156">
        <f t="shared" si="1"/>
        <v>47.327293540861824</v>
      </c>
      <c r="I32" s="156">
        <f t="shared" si="2"/>
        <v>31.573155640459468</v>
      </c>
      <c r="J32" s="156">
        <f t="shared" si="4"/>
        <v>78.900449181321292</v>
      </c>
      <c r="K32" s="149">
        <f t="shared" si="5"/>
        <v>0</v>
      </c>
      <c r="L32" s="157">
        <f t="shared" si="6"/>
        <v>0</v>
      </c>
      <c r="M32" s="157">
        <f t="shared" si="7"/>
        <v>0</v>
      </c>
    </row>
    <row r="33" spans="3:13" ht="14.4" x14ac:dyDescent="0.3">
      <c r="E33" s="99" t="str">
        <f t="shared" si="3"/>
        <v/>
      </c>
      <c r="F33" s="158">
        <f t="shared" si="8"/>
        <v>30</v>
      </c>
      <c r="G33" s="158">
        <f t="shared" si="0"/>
        <v>42</v>
      </c>
      <c r="H33" s="159">
        <f t="shared" si="1"/>
        <v>40.002672151171971</v>
      </c>
      <c r="I33" s="159">
        <f t="shared" si="2"/>
        <v>28.396757297700709</v>
      </c>
      <c r="J33" s="156">
        <f t="shared" si="4"/>
        <v>68.399429448872681</v>
      </c>
      <c r="K33" s="149">
        <f t="shared" si="5"/>
        <v>0</v>
      </c>
      <c r="L33" s="157">
        <f t="shared" si="6"/>
        <v>0</v>
      </c>
      <c r="M33" s="157">
        <f t="shared" si="7"/>
        <v>0</v>
      </c>
    </row>
    <row r="34" spans="3:13" ht="14.4" x14ac:dyDescent="0.3">
      <c r="C34" s="99" t="s">
        <v>112</v>
      </c>
      <c r="D34" s="160">
        <f>L79</f>
        <v>39.214803607697732</v>
      </c>
      <c r="E34" s="180"/>
      <c r="F34" s="158">
        <f t="shared" si="8"/>
        <v>35</v>
      </c>
      <c r="G34" s="158">
        <f t="shared" si="0"/>
        <v>47</v>
      </c>
      <c r="H34" s="159">
        <f t="shared" si="1"/>
        <v>34.871176696500321</v>
      </c>
      <c r="I34" s="159">
        <f t="shared" si="2"/>
        <v>25.980685634901214</v>
      </c>
      <c r="J34" s="156">
        <f t="shared" si="4"/>
        <v>60.851862331401534</v>
      </c>
      <c r="K34" s="149">
        <f t="shared" si="5"/>
        <v>0</v>
      </c>
      <c r="L34" s="157">
        <f t="shared" si="6"/>
        <v>0</v>
      </c>
      <c r="M34" s="157">
        <f t="shared" si="7"/>
        <v>0</v>
      </c>
    </row>
    <row r="35" spans="3:13" ht="13.5" customHeight="1" x14ac:dyDescent="0.3">
      <c r="C35" s="149" t="str">
        <f>IF(D34&gt;40,"ERROR - VALUE TOO GREAT","")</f>
        <v/>
      </c>
      <c r="D35" s="100" t="s">
        <v>114</v>
      </c>
      <c r="E35" s="99" t="str">
        <f t="shared" si="3"/>
        <v/>
      </c>
      <c r="F35" s="158">
        <f t="shared" si="8"/>
        <v>40</v>
      </c>
      <c r="G35" s="158">
        <f t="shared" si="0"/>
        <v>52</v>
      </c>
      <c r="H35" s="159">
        <f t="shared" si="1"/>
        <v>31.116383447439819</v>
      </c>
      <c r="I35" s="159">
        <f t="shared" si="2"/>
        <v>24.112605479165488</v>
      </c>
      <c r="J35" s="156">
        <f t="shared" si="4"/>
        <v>55.228988926605311</v>
      </c>
      <c r="K35" s="149">
        <f t="shared" si="5"/>
        <v>0</v>
      </c>
      <c r="L35" s="157">
        <f t="shared" si="6"/>
        <v>0</v>
      </c>
      <c r="M35" s="157">
        <f t="shared" si="7"/>
        <v>0</v>
      </c>
    </row>
    <row r="36" spans="3:13" ht="15" customHeight="1" x14ac:dyDescent="0.3">
      <c r="C36" s="154" t="s">
        <v>115</v>
      </c>
      <c r="E36" s="180"/>
      <c r="F36" s="158">
        <f t="shared" si="8"/>
        <v>45</v>
      </c>
      <c r="G36" s="158">
        <f t="shared" si="0"/>
        <v>57</v>
      </c>
      <c r="H36" s="159">
        <f t="shared" si="1"/>
        <v>28.285907613652199</v>
      </c>
      <c r="I36" s="159">
        <f t="shared" si="2"/>
        <v>22.655980728038596</v>
      </c>
      <c r="J36" s="156">
        <f t="shared" si="4"/>
        <v>50.941888341690799</v>
      </c>
      <c r="K36" s="149">
        <f t="shared" si="5"/>
        <v>0</v>
      </c>
      <c r="L36" s="157">
        <f t="shared" si="6"/>
        <v>0</v>
      </c>
      <c r="M36" s="157">
        <f t="shared" si="7"/>
        <v>0</v>
      </c>
    </row>
    <row r="37" spans="3:13" ht="14.4" x14ac:dyDescent="0.3">
      <c r="C37" s="99" t="s">
        <v>116</v>
      </c>
      <c r="D37" s="160">
        <f>M79</f>
        <v>84</v>
      </c>
      <c r="E37" s="180"/>
      <c r="F37" s="158">
        <f t="shared" si="8"/>
        <v>50</v>
      </c>
      <c r="G37" s="158">
        <f t="shared" si="0"/>
        <v>62</v>
      </c>
      <c r="H37" s="159">
        <f t="shared" si="1"/>
        <v>26.109554053397805</v>
      </c>
      <c r="I37" s="159">
        <f t="shared" si="2"/>
        <v>21.519743018004885</v>
      </c>
      <c r="J37" s="156">
        <f t="shared" si="4"/>
        <v>47.629297071402689</v>
      </c>
      <c r="K37" s="149">
        <f t="shared" si="5"/>
        <v>0</v>
      </c>
      <c r="L37" s="157">
        <f t="shared" si="6"/>
        <v>0</v>
      </c>
      <c r="M37" s="157">
        <f t="shared" si="7"/>
        <v>0</v>
      </c>
    </row>
    <row r="38" spans="3:13" ht="14.4" x14ac:dyDescent="0.3">
      <c r="D38" s="100" t="s">
        <v>113</v>
      </c>
      <c r="E38" s="99" t="str">
        <f t="shared" si="3"/>
        <v/>
      </c>
      <c r="F38" s="158">
        <f t="shared" si="8"/>
        <v>55</v>
      </c>
      <c r="G38" s="158">
        <f t="shared" si="0"/>
        <v>67</v>
      </c>
      <c r="H38" s="159">
        <f t="shared" si="1"/>
        <v>24.416700656586578</v>
      </c>
      <c r="I38" s="159">
        <f t="shared" si="2"/>
        <v>20.6416019143943</v>
      </c>
      <c r="J38" s="156">
        <f t="shared" si="4"/>
        <v>45.058302570980878</v>
      </c>
      <c r="K38" s="149">
        <f t="shared" si="5"/>
        <v>0</v>
      </c>
      <c r="L38" s="157">
        <f t="shared" si="6"/>
        <v>0</v>
      </c>
      <c r="M38" s="157">
        <f t="shared" si="7"/>
        <v>0</v>
      </c>
    </row>
    <row r="39" spans="3:13" ht="14.4" x14ac:dyDescent="0.3">
      <c r="C39" s="149" t="str">
        <f>'status of this document'!B5</f>
        <v>Effective 1st April 2018</v>
      </c>
      <c r="E39" s="99" t="str">
        <f t="shared" si="3"/>
        <v/>
      </c>
      <c r="F39" s="158">
        <f t="shared" si="8"/>
        <v>60</v>
      </c>
      <c r="G39" s="158">
        <f t="shared" si="0"/>
        <v>72</v>
      </c>
      <c r="H39" s="159">
        <f t="shared" si="1"/>
        <v>23.095039313400815</v>
      </c>
      <c r="I39" s="159">
        <f t="shared" si="2"/>
        <v>19.978383179658078</v>
      </c>
      <c r="J39" s="156">
        <f t="shared" si="4"/>
        <v>43.073422493058892</v>
      </c>
      <c r="K39" s="149">
        <f t="shared" si="5"/>
        <v>0</v>
      </c>
      <c r="L39" s="157">
        <f t="shared" si="6"/>
        <v>0</v>
      </c>
      <c r="M39" s="157">
        <f t="shared" si="7"/>
        <v>0</v>
      </c>
    </row>
    <row r="40" spans="3:13" ht="14.4" x14ac:dyDescent="0.3">
      <c r="C40" s="178" t="str">
        <f>'status of this document'!B7</f>
        <v>© 2018, IRSA</v>
      </c>
      <c r="E40" s="99" t="str">
        <f t="shared" si="3"/>
        <v/>
      </c>
      <c r="F40" s="158">
        <f t="shared" si="8"/>
        <v>65</v>
      </c>
      <c r="G40" s="158">
        <f t="shared" si="0"/>
        <v>77</v>
      </c>
      <c r="H40" s="159">
        <f t="shared" si="1"/>
        <v>22.068418345339182</v>
      </c>
      <c r="I40" s="159">
        <f t="shared" si="2"/>
        <v>19.500223779051638</v>
      </c>
      <c r="J40" s="156">
        <f t="shared" si="4"/>
        <v>41.56864212439082</v>
      </c>
      <c r="K40" s="149">
        <f t="shared" si="5"/>
        <v>0</v>
      </c>
      <c r="L40" s="157">
        <f t="shared" si="6"/>
        <v>0</v>
      </c>
      <c r="M40" s="157">
        <f t="shared" si="7"/>
        <v>0</v>
      </c>
    </row>
    <row r="41" spans="3:13" ht="14.4" x14ac:dyDescent="0.3">
      <c r="E41" s="99" t="str">
        <f t="shared" si="3"/>
        <v/>
      </c>
      <c r="F41" s="158">
        <f t="shared" si="8"/>
        <v>70</v>
      </c>
      <c r="G41" s="158">
        <f t="shared" si="0"/>
        <v>82</v>
      </c>
      <c r="H41" s="159">
        <f t="shared" si="1"/>
        <v>21.284252655815852</v>
      </c>
      <c r="I41" s="159">
        <f t="shared" si="2"/>
        <v>19.187008240003905</v>
      </c>
      <c r="J41" s="156">
        <f t="shared" si="4"/>
        <v>40.471260895819754</v>
      </c>
      <c r="K41" s="149">
        <f t="shared" si="5"/>
        <v>0</v>
      </c>
      <c r="L41" s="157">
        <f t="shared" si="6"/>
        <v>0</v>
      </c>
      <c r="M41" s="157">
        <f t="shared" si="7"/>
        <v>0</v>
      </c>
    </row>
    <row r="42" spans="3:13" ht="14.4" x14ac:dyDescent="0.3">
      <c r="E42" s="99" t="str">
        <f t="shared" si="3"/>
        <v/>
      </c>
      <c r="F42" s="158">
        <f t="shared" si="8"/>
        <v>75</v>
      </c>
      <c r="G42" s="158">
        <f t="shared" si="0"/>
        <v>87</v>
      </c>
      <c r="H42" s="159">
        <f t="shared" si="1"/>
        <v>20.706058633831798</v>
      </c>
      <c r="I42" s="159">
        <f t="shared" si="2"/>
        <v>19.026186212775137</v>
      </c>
      <c r="J42" s="156">
        <f t="shared" si="4"/>
        <v>39.732244846606932</v>
      </c>
      <c r="K42" s="149">
        <f t="shared" si="5"/>
        <v>0</v>
      </c>
      <c r="L42" s="157">
        <f t="shared" si="6"/>
        <v>0</v>
      </c>
      <c r="M42" s="157">
        <f t="shared" si="7"/>
        <v>0</v>
      </c>
    </row>
    <row r="43" spans="3:13" ht="14.4" x14ac:dyDescent="0.3">
      <c r="E43" s="99" t="str">
        <f t="shared" si="3"/>
        <v/>
      </c>
      <c r="F43" s="158">
        <f t="shared" si="8"/>
        <v>80</v>
      </c>
      <c r="G43" s="158">
        <f t="shared" si="0"/>
        <v>92</v>
      </c>
      <c r="H43" s="159">
        <f t="shared" si="1"/>
        <v>20.308900627101071</v>
      </c>
      <c r="I43" s="159">
        <f t="shared" si="2"/>
        <v>19.011502955889455</v>
      </c>
      <c r="J43" s="156">
        <f t="shared" si="4"/>
        <v>39.320403582990522</v>
      </c>
      <c r="K43" s="149">
        <f t="shared" si="5"/>
        <v>0</v>
      </c>
      <c r="L43" s="157">
        <f t="shared" si="6"/>
        <v>0</v>
      </c>
      <c r="M43" s="157">
        <f t="shared" si="7"/>
        <v>0</v>
      </c>
    </row>
    <row r="44" spans="3:13" ht="14.4" x14ac:dyDescent="0.3">
      <c r="E44" s="99" t="str">
        <f t="shared" si="3"/>
        <v/>
      </c>
      <c r="F44" s="158">
        <f t="shared" si="8"/>
        <v>85</v>
      </c>
      <c r="G44" s="158">
        <f t="shared" si="0"/>
        <v>97</v>
      </c>
      <c r="H44" s="159">
        <f t="shared" si="1"/>
        <v>20.076588802082952</v>
      </c>
      <c r="I44" s="159">
        <f t="shared" si="2"/>
        <v>19.14239374521517</v>
      </c>
      <c r="J44" s="156">
        <f t="shared" si="4"/>
        <v>39.218982547298125</v>
      </c>
      <c r="K44" s="149">
        <f t="shared" si="5"/>
        <v>1</v>
      </c>
      <c r="L44" s="157">
        <f t="shared" si="6"/>
        <v>39.218982547298125</v>
      </c>
      <c r="M44" s="157">
        <f t="shared" si="7"/>
        <v>85</v>
      </c>
    </row>
    <row r="45" spans="3:13" ht="14.4" x14ac:dyDescent="0.3">
      <c r="E45" s="99" t="str">
        <f t="shared" si="3"/>
        <v/>
      </c>
      <c r="F45" s="158">
        <f t="shared" si="8"/>
        <v>90</v>
      </c>
      <c r="G45" s="158">
        <f t="shared" si="0"/>
        <v>102</v>
      </c>
      <c r="H45" s="159">
        <f t="shared" si="1"/>
        <v>20.000000133861484</v>
      </c>
      <c r="I45" s="159">
        <f t="shared" si="2"/>
        <v>19.423930095791345</v>
      </c>
      <c r="J45" s="156">
        <f t="shared" si="4"/>
        <v>39.423930229652825</v>
      </c>
      <c r="K45" s="149">
        <f t="shared" si="5"/>
        <v>0</v>
      </c>
      <c r="L45" s="157">
        <f t="shared" si="6"/>
        <v>0</v>
      </c>
      <c r="M45" s="157">
        <f t="shared" si="7"/>
        <v>0</v>
      </c>
    </row>
    <row r="46" spans="3:13" ht="14.4" x14ac:dyDescent="0.3">
      <c r="E46" s="99" t="str">
        <f t="shared" si="3"/>
        <v/>
      </c>
      <c r="F46" s="158">
        <f t="shared" si="8"/>
        <v>95</v>
      </c>
      <c r="G46" s="158">
        <f t="shared" si="0"/>
        <v>107</v>
      </c>
      <c r="H46" s="159">
        <f t="shared" si="1"/>
        <v>20.076182393408299</v>
      </c>
      <c r="I46" s="159">
        <f t="shared" si="2"/>
        <v>19.867308059906645</v>
      </c>
      <c r="J46" s="156">
        <f t="shared" si="4"/>
        <v>39.943490453314944</v>
      </c>
      <c r="K46" s="149">
        <f t="shared" si="5"/>
        <v>0</v>
      </c>
      <c r="L46" s="157">
        <f t="shared" si="6"/>
        <v>0</v>
      </c>
      <c r="M46" s="157">
        <f t="shared" si="7"/>
        <v>0</v>
      </c>
    </row>
    <row r="47" spans="3:13" ht="14.4" x14ac:dyDescent="0.3">
      <c r="E47" s="99" t="str">
        <f t="shared" si="3"/>
        <v/>
      </c>
      <c r="F47" s="158">
        <f t="shared" si="8"/>
        <v>100</v>
      </c>
      <c r="G47" s="158">
        <f t="shared" si="0"/>
        <v>112</v>
      </c>
      <c r="H47" s="159">
        <f t="shared" si="1"/>
        <v>20.308072071821481</v>
      </c>
      <c r="I47" s="159">
        <f t="shared" si="2"/>
        <v>20.490968325713673</v>
      </c>
      <c r="J47" s="156">
        <f t="shared" si="4"/>
        <v>40.799040397535151</v>
      </c>
      <c r="K47" s="149">
        <f t="shared" si="5"/>
        <v>0</v>
      </c>
      <c r="L47" s="157">
        <f t="shared" si="6"/>
        <v>0</v>
      </c>
      <c r="M47" s="157">
        <f t="shared" si="7"/>
        <v>0</v>
      </c>
    </row>
    <row r="48" spans="3:13" ht="14.4" x14ac:dyDescent="0.3">
      <c r="E48" s="99" t="str">
        <f t="shared" si="3"/>
        <v/>
      </c>
      <c r="F48" s="158">
        <f t="shared" si="8"/>
        <v>105</v>
      </c>
      <c r="G48" s="158">
        <f t="shared" si="0"/>
        <v>117</v>
      </c>
      <c r="H48" s="159">
        <f t="shared" si="1"/>
        <v>20.704774942107818</v>
      </c>
      <c r="I48" s="159">
        <f t="shared" si="2"/>
        <v>21.322564664309187</v>
      </c>
      <c r="J48" s="156">
        <f t="shared" si="4"/>
        <v>42.027339606417002</v>
      </c>
      <c r="K48" s="149">
        <f t="shared" si="5"/>
        <v>0</v>
      </c>
      <c r="L48" s="157">
        <f t="shared" si="6"/>
        <v>0</v>
      </c>
      <c r="M48" s="157">
        <f t="shared" si="7"/>
        <v>0</v>
      </c>
    </row>
    <row r="49" spans="5:13" ht="14.4" x14ac:dyDescent="0.3">
      <c r="E49" s="99" t="str">
        <f t="shared" si="3"/>
        <v/>
      </c>
      <c r="F49" s="158">
        <f t="shared" si="8"/>
        <v>110</v>
      </c>
      <c r="G49" s="158">
        <f t="shared" si="0"/>
        <v>122</v>
      </c>
      <c r="H49" s="159">
        <f t="shared" si="1"/>
        <v>21.282460280086056</v>
      </c>
      <c r="I49" s="159">
        <f t="shared" si="2"/>
        <v>22.402194482474613</v>
      </c>
      <c r="J49" s="156">
        <f t="shared" si="4"/>
        <v>43.684654762560669</v>
      </c>
      <c r="K49" s="149">
        <f t="shared" si="5"/>
        <v>0</v>
      </c>
      <c r="L49" s="157">
        <f t="shared" si="6"/>
        <v>0</v>
      </c>
      <c r="M49" s="157">
        <f t="shared" si="7"/>
        <v>0</v>
      </c>
    </row>
    <row r="50" spans="5:13" ht="14.4" x14ac:dyDescent="0.3">
      <c r="E50" s="99" t="str">
        <f t="shared" si="3"/>
        <v/>
      </c>
      <c r="F50" s="158">
        <f t="shared" si="8"/>
        <v>115</v>
      </c>
      <c r="G50" s="158">
        <f t="shared" si="0"/>
        <v>127</v>
      </c>
      <c r="H50" s="159">
        <f t="shared" si="1"/>
        <v>22.066037442365136</v>
      </c>
      <c r="I50" s="159">
        <f t="shared" si="2"/>
        <v>23.787651278424828</v>
      </c>
      <c r="J50" s="156">
        <f t="shared" si="4"/>
        <v>45.853688720789961</v>
      </c>
      <c r="K50" s="149">
        <f t="shared" si="5"/>
        <v>0</v>
      </c>
      <c r="L50" s="157">
        <f t="shared" si="6"/>
        <v>0</v>
      </c>
      <c r="M50" s="157">
        <f t="shared" si="7"/>
        <v>0</v>
      </c>
    </row>
    <row r="51" spans="5:13" ht="14.4" x14ac:dyDescent="0.3">
      <c r="E51" s="99" t="str">
        <f t="shared" si="3"/>
        <v/>
      </c>
      <c r="F51" s="158">
        <f t="shared" si="8"/>
        <v>120</v>
      </c>
      <c r="G51" s="158">
        <f t="shared" si="0"/>
        <v>132</v>
      </c>
      <c r="H51" s="159">
        <f t="shared" si="1"/>
        <v>23.091954362888092</v>
      </c>
      <c r="I51" s="159">
        <f t="shared" si="2"/>
        <v>25.563116426366264</v>
      </c>
      <c r="J51" s="156">
        <f t="shared" si="4"/>
        <v>48.655070789254353</v>
      </c>
      <c r="K51" s="149">
        <f t="shared" si="5"/>
        <v>0</v>
      </c>
      <c r="L51" s="157">
        <f t="shared" si="6"/>
        <v>0</v>
      </c>
      <c r="M51" s="157">
        <f t="shared" si="7"/>
        <v>0</v>
      </c>
    </row>
    <row r="52" spans="5:13" ht="14.4" x14ac:dyDescent="0.3">
      <c r="E52" s="99" t="str">
        <f t="shared" si="3"/>
        <v/>
      </c>
      <c r="F52" s="149">
        <f t="shared" si="8"/>
        <v>125</v>
      </c>
      <c r="G52" s="149">
        <f t="shared" si="0"/>
        <v>137</v>
      </c>
      <c r="H52" s="156">
        <f t="shared" si="1"/>
        <v>24.412745216567483</v>
      </c>
      <c r="I52" s="156">
        <f t="shared" si="2"/>
        <v>27.854044322992131</v>
      </c>
      <c r="J52" s="156">
        <f t="shared" si="4"/>
        <v>52.26678953955961</v>
      </c>
      <c r="K52" s="149">
        <f t="shared" si="5"/>
        <v>0</v>
      </c>
      <c r="L52" s="157">
        <f t="shared" si="6"/>
        <v>0</v>
      </c>
      <c r="M52" s="157">
        <f t="shared" si="7"/>
        <v>0</v>
      </c>
    </row>
    <row r="53" spans="5:13" ht="14.4" x14ac:dyDescent="0.3">
      <c r="E53" s="99" t="str">
        <f t="shared" si="3"/>
        <v/>
      </c>
      <c r="F53" s="149">
        <f t="shared" si="8"/>
        <v>130</v>
      </c>
      <c r="G53" s="149">
        <f t="shared" si="0"/>
        <v>142</v>
      </c>
      <c r="H53" s="156">
        <f t="shared" si="1"/>
        <v>26.104485508640114</v>
      </c>
      <c r="I53" s="156">
        <f t="shared" si="2"/>
        <v>30.853907195597738</v>
      </c>
      <c r="J53" s="156">
        <f t="shared" si="4"/>
        <v>56.958392704237852</v>
      </c>
      <c r="K53" s="149">
        <f t="shared" si="5"/>
        <v>0</v>
      </c>
      <c r="L53" s="157">
        <f t="shared" si="6"/>
        <v>0</v>
      </c>
      <c r="M53" s="157">
        <f t="shared" si="7"/>
        <v>0</v>
      </c>
    </row>
    <row r="54" spans="5:13" ht="14.4" x14ac:dyDescent="0.3">
      <c r="E54" s="99" t="str">
        <f t="shared" si="3"/>
        <v/>
      </c>
      <c r="F54" s="149">
        <f t="shared" si="8"/>
        <v>135</v>
      </c>
      <c r="G54" s="149">
        <f t="shared" si="0"/>
        <v>147</v>
      </c>
      <c r="H54" s="156">
        <f t="shared" si="1"/>
        <v>28.279363852428649</v>
      </c>
      <c r="I54" s="156">
        <f t="shared" si="2"/>
        <v>34.875342795011548</v>
      </c>
      <c r="J54" s="156">
        <f t="shared" si="4"/>
        <v>63.154706647440193</v>
      </c>
      <c r="K54" s="149">
        <f t="shared" si="5"/>
        <v>0</v>
      </c>
      <c r="L54" s="157">
        <f t="shared" si="6"/>
        <v>0</v>
      </c>
      <c r="M54" s="157">
        <f t="shared" si="7"/>
        <v>0</v>
      </c>
    </row>
    <row r="55" spans="5:13" ht="14.4" x14ac:dyDescent="0.3">
      <c r="E55" s="99" t="str">
        <f t="shared" si="3"/>
        <v/>
      </c>
      <c r="F55" s="149">
        <f t="shared" si="8"/>
        <v>140</v>
      </c>
      <c r="G55" s="149">
        <f t="shared" si="0"/>
        <v>152</v>
      </c>
      <c r="H55" s="156">
        <f t="shared" si="1"/>
        <v>31.107804839220154</v>
      </c>
      <c r="I55" s="156">
        <f t="shared" si="2"/>
        <v>40.456168122642801</v>
      </c>
      <c r="J55" s="156">
        <f t="shared" si="4"/>
        <v>71.563972961862959</v>
      </c>
      <c r="K55" s="149">
        <f t="shared" si="5"/>
        <v>0</v>
      </c>
      <c r="L55" s="157">
        <f t="shared" si="6"/>
        <v>0</v>
      </c>
      <c r="M55" s="157">
        <f t="shared" si="7"/>
        <v>0</v>
      </c>
    </row>
    <row r="56" spans="5:13" ht="14.4" x14ac:dyDescent="0.3">
      <c r="E56" s="99" t="str">
        <f t="shared" si="3"/>
        <v/>
      </c>
      <c r="F56" s="149">
        <f t="shared" si="8"/>
        <v>145</v>
      </c>
      <c r="G56" s="149">
        <f t="shared" si="0"/>
        <v>157</v>
      </c>
      <c r="H56" s="156">
        <f t="shared" si="1"/>
        <v>34.859656482810891</v>
      </c>
      <c r="I56" s="156">
        <f t="shared" si="2"/>
        <v>48.603679511107117</v>
      </c>
      <c r="J56" s="156">
        <f t="shared" si="4"/>
        <v>83.463335993918008</v>
      </c>
      <c r="K56" s="149">
        <f t="shared" si="5"/>
        <v>0</v>
      </c>
      <c r="L56" s="157">
        <f t="shared" si="6"/>
        <v>0</v>
      </c>
      <c r="M56" s="157">
        <f t="shared" si="7"/>
        <v>0</v>
      </c>
    </row>
    <row r="57" spans="5:13" ht="14.4" x14ac:dyDescent="0.3">
      <c r="E57" s="99" t="str">
        <f t="shared" si="3"/>
        <v/>
      </c>
      <c r="F57" s="149">
        <f t="shared" si="8"/>
        <v>150</v>
      </c>
      <c r="G57" s="149">
        <f t="shared" si="0"/>
        <v>162</v>
      </c>
      <c r="H57" s="156">
        <f t="shared" si="1"/>
        <v>39.986645489181917</v>
      </c>
      <c r="I57" s="156">
        <f t="shared" si="2"/>
        <v>61.445909138184568</v>
      </c>
      <c r="J57" s="156">
        <f t="shared" si="4"/>
        <v>101.43255462736649</v>
      </c>
      <c r="K57" s="149">
        <f t="shared" si="5"/>
        <v>0</v>
      </c>
      <c r="L57" s="157">
        <f t="shared" si="6"/>
        <v>0</v>
      </c>
      <c r="M57" s="157">
        <f t="shared" si="7"/>
        <v>0</v>
      </c>
    </row>
    <row r="58" spans="5:13" ht="14.4" x14ac:dyDescent="0.3">
      <c r="E58" s="99" t="str">
        <f t="shared" si="3"/>
        <v/>
      </c>
      <c r="F58" s="149">
        <f t="shared" si="8"/>
        <v>155</v>
      </c>
      <c r="G58" s="149">
        <f t="shared" si="0"/>
        <v>167</v>
      </c>
      <c r="H58" s="156">
        <f t="shared" si="1"/>
        <v>47.303819142237991</v>
      </c>
      <c r="I58" s="156">
        <f t="shared" si="2"/>
        <v>84.384350848622375</v>
      </c>
      <c r="J58" s="156">
        <f t="shared" si="4"/>
        <v>131.68816999086036</v>
      </c>
      <c r="K58" s="149">
        <f t="shared" si="5"/>
        <v>0</v>
      </c>
      <c r="L58" s="157">
        <f t="shared" si="6"/>
        <v>0</v>
      </c>
      <c r="M58" s="157">
        <f t="shared" si="7"/>
        <v>0</v>
      </c>
    </row>
    <row r="59" spans="5:13" ht="14.4" x14ac:dyDescent="0.3">
      <c r="E59" s="99" t="str">
        <f t="shared" si="3"/>
        <v/>
      </c>
      <c r="F59" s="149">
        <f t="shared" si="8"/>
        <v>160</v>
      </c>
      <c r="G59" s="149">
        <f t="shared" si="0"/>
        <v>172</v>
      </c>
      <c r="H59" s="156">
        <f t="shared" si="1"/>
        <v>58.44306199232188</v>
      </c>
      <c r="I59" s="156">
        <f t="shared" si="2"/>
        <v>136.30618711999759</v>
      </c>
      <c r="J59" s="156">
        <f t="shared" si="4"/>
        <v>194.74924911231946</v>
      </c>
      <c r="K59" s="149">
        <f t="shared" si="5"/>
        <v>0</v>
      </c>
      <c r="L59" s="157">
        <f t="shared" si="6"/>
        <v>0</v>
      </c>
      <c r="M59" s="157">
        <f t="shared" si="7"/>
        <v>0</v>
      </c>
    </row>
    <row r="60" spans="5:13" ht="14.4" x14ac:dyDescent="0.3">
      <c r="E60" s="99" t="str">
        <f t="shared" si="3"/>
        <v/>
      </c>
      <c r="F60" s="149">
        <f t="shared" si="8"/>
        <v>165</v>
      </c>
      <c r="G60" s="149">
        <f t="shared" si="0"/>
        <v>177</v>
      </c>
      <c r="H60" s="156">
        <f t="shared" si="1"/>
        <v>77.212944524112245</v>
      </c>
      <c r="I60" s="156">
        <f t="shared" si="2"/>
        <v>361.46973495311602</v>
      </c>
      <c r="J60" s="156">
        <f t="shared" si="4"/>
        <v>438.68267947722825</v>
      </c>
      <c r="K60" s="149">
        <f t="shared" si="5"/>
        <v>0</v>
      </c>
      <c r="L60" s="157">
        <f t="shared" si="6"/>
        <v>0</v>
      </c>
      <c r="M60" s="157">
        <f t="shared" si="7"/>
        <v>0</v>
      </c>
    </row>
    <row r="61" spans="5:13" ht="14.4" x14ac:dyDescent="0.3">
      <c r="E61" s="99" t="str">
        <f t="shared" si="3"/>
        <v/>
      </c>
      <c r="F61" s="149">
        <f t="shared" si="8"/>
        <v>170</v>
      </c>
      <c r="G61" s="149">
        <f t="shared" si="0"/>
        <v>182</v>
      </c>
      <c r="H61" s="156">
        <f t="shared" si="1"/>
        <v>115.03283940900435</v>
      </c>
      <c r="I61" s="156">
        <f t="shared" si="2"/>
        <v>-548.09267832395471</v>
      </c>
      <c r="J61" s="156">
        <f t="shared" si="4"/>
        <v>999</v>
      </c>
      <c r="K61" s="149">
        <f t="shared" si="5"/>
        <v>0</v>
      </c>
      <c r="L61" s="157">
        <f t="shared" si="6"/>
        <v>0</v>
      </c>
      <c r="M61" s="157">
        <f t="shared" si="7"/>
        <v>0</v>
      </c>
    </row>
    <row r="62" spans="5:13" ht="14.4" x14ac:dyDescent="0.3">
      <c r="E62" s="99" t="str">
        <f t="shared" si="3"/>
        <v/>
      </c>
      <c r="F62" s="149">
        <f t="shared" si="8"/>
        <v>175</v>
      </c>
      <c r="G62" s="149">
        <f t="shared" si="0"/>
        <v>187</v>
      </c>
      <c r="H62" s="156">
        <f t="shared" si="1"/>
        <v>228.88571137552978</v>
      </c>
      <c r="I62" s="156">
        <f t="shared" si="2"/>
        <v>-156.21051581286528</v>
      </c>
      <c r="J62" s="156">
        <f t="shared" si="4"/>
        <v>999</v>
      </c>
      <c r="K62" s="149">
        <f t="shared" si="5"/>
        <v>0</v>
      </c>
      <c r="L62" s="157">
        <f t="shared" si="6"/>
        <v>0</v>
      </c>
      <c r="M62" s="157">
        <f t="shared" si="7"/>
        <v>0</v>
      </c>
    </row>
    <row r="63" spans="5:13" ht="14.4" x14ac:dyDescent="0.3">
      <c r="F63" s="149"/>
    </row>
    <row r="64" spans="5:13" ht="14.4" x14ac:dyDescent="0.3">
      <c r="F64" s="149"/>
      <c r="J64" s="156">
        <f>MIN(J28:J62)</f>
        <v>39.218982547298125</v>
      </c>
      <c r="L64" s="156">
        <f>MAX(L28:L62)</f>
        <v>39.218982547298125</v>
      </c>
      <c r="M64" s="156">
        <f>MAX(M28:M62)</f>
        <v>85</v>
      </c>
    </row>
    <row r="65" spans="5:13" ht="14.4" x14ac:dyDescent="0.3">
      <c r="F65" s="149"/>
    </row>
    <row r="66" spans="5:13" ht="69" x14ac:dyDescent="0.25">
      <c r="F66" s="154" t="s">
        <v>104</v>
      </c>
      <c r="G66" s="154" t="s">
        <v>105</v>
      </c>
      <c r="H66" s="154" t="s">
        <v>106</v>
      </c>
      <c r="I66" s="154" t="s">
        <v>107</v>
      </c>
      <c r="J66" s="154" t="s">
        <v>108</v>
      </c>
      <c r="K66" s="154" t="s">
        <v>109</v>
      </c>
      <c r="L66" s="154" t="s">
        <v>110</v>
      </c>
      <c r="M66" s="154" t="s">
        <v>111</v>
      </c>
    </row>
    <row r="67" spans="5:13" ht="14.4" x14ac:dyDescent="0.3">
      <c r="E67" s="99" t="str">
        <f t="shared" ref="E67:E77" si="9">IF(L67&gt;40, "MINIMUM COMBINED BOOM SPAR greater than 40 mm","")</f>
        <v/>
      </c>
      <c r="F67" s="156">
        <f>F68-1</f>
        <v>80</v>
      </c>
      <c r="G67" s="149">
        <f t="shared" ref="G67:G77" si="10">F67+$D$14</f>
        <v>92</v>
      </c>
      <c r="H67" s="156">
        <f t="shared" ref="H67:H77" si="11">$D$15/SIN(F67/57.3)</f>
        <v>20.308900627101071</v>
      </c>
      <c r="I67" s="156">
        <f t="shared" ref="I67:I77" si="12">$D$13/SIN(G67/57.3)</f>
        <v>19.011502955889455</v>
      </c>
      <c r="J67" s="157">
        <f t="shared" ref="J67:J77" si="13">IF(I67&gt;0,H67+I67,999)</f>
        <v>39.320403582990522</v>
      </c>
      <c r="K67" s="149">
        <f>IF(J67=$J$79,1,0)</f>
        <v>0</v>
      </c>
      <c r="L67" s="157">
        <f t="shared" ref="L67:L77" si="14">K67*J67</f>
        <v>0</v>
      </c>
      <c r="M67" s="157">
        <f t="shared" ref="M67:M77" si="15">K67*F67</f>
        <v>0</v>
      </c>
    </row>
    <row r="68" spans="5:13" ht="14.4" x14ac:dyDescent="0.3">
      <c r="E68" s="99" t="str">
        <f t="shared" si="9"/>
        <v/>
      </c>
      <c r="F68" s="156">
        <f>F69-1</f>
        <v>81</v>
      </c>
      <c r="G68" s="149">
        <f t="shared" si="10"/>
        <v>93</v>
      </c>
      <c r="H68" s="156">
        <f t="shared" si="11"/>
        <v>20.249636589861037</v>
      </c>
      <c r="I68" s="156">
        <f t="shared" si="12"/>
        <v>19.025955500538128</v>
      </c>
      <c r="J68" s="157">
        <f t="shared" si="13"/>
        <v>39.275592090399165</v>
      </c>
      <c r="K68" s="149">
        <f t="shared" ref="K68:K77" si="16">IF(J68=$J$79,1,0)</f>
        <v>0</v>
      </c>
      <c r="L68" s="157">
        <f t="shared" si="14"/>
        <v>0</v>
      </c>
      <c r="M68" s="157">
        <f t="shared" si="15"/>
        <v>0</v>
      </c>
    </row>
    <row r="69" spans="5:13" ht="14.4" x14ac:dyDescent="0.3">
      <c r="E69" s="99" t="str">
        <f t="shared" si="9"/>
        <v/>
      </c>
      <c r="F69" s="156">
        <f>F70-1</f>
        <v>82</v>
      </c>
      <c r="G69" s="149">
        <f t="shared" si="10"/>
        <v>94</v>
      </c>
      <c r="H69" s="156">
        <f t="shared" si="11"/>
        <v>20.196850778951479</v>
      </c>
      <c r="I69" s="156">
        <f t="shared" si="12"/>
        <v>19.046235261850025</v>
      </c>
      <c r="J69" s="157">
        <f t="shared" si="13"/>
        <v>39.243086040801501</v>
      </c>
      <c r="K69" s="149">
        <f t="shared" si="16"/>
        <v>0</v>
      </c>
      <c r="L69" s="157">
        <f t="shared" si="14"/>
        <v>0</v>
      </c>
      <c r="M69" s="157">
        <f t="shared" si="15"/>
        <v>0</v>
      </c>
    </row>
    <row r="70" spans="5:13" ht="14.4" x14ac:dyDescent="0.3">
      <c r="E70" s="99" t="str">
        <f t="shared" si="9"/>
        <v/>
      </c>
      <c r="F70" s="156">
        <f>F71-1</f>
        <v>83</v>
      </c>
      <c r="G70" s="149">
        <f t="shared" si="10"/>
        <v>95</v>
      </c>
      <c r="H70" s="156">
        <f t="shared" si="11"/>
        <v>20.150460616713918</v>
      </c>
      <c r="I70" s="156">
        <f t="shared" si="12"/>
        <v>19.072373273737885</v>
      </c>
      <c r="J70" s="157">
        <f t="shared" si="13"/>
        <v>39.222833890451803</v>
      </c>
      <c r="K70" s="149">
        <f t="shared" si="16"/>
        <v>0</v>
      </c>
      <c r="L70" s="157">
        <f t="shared" si="14"/>
        <v>0</v>
      </c>
      <c r="M70" s="157">
        <f t="shared" si="15"/>
        <v>0</v>
      </c>
    </row>
    <row r="71" spans="5:13" ht="14.4" x14ac:dyDescent="0.3">
      <c r="E71" s="99" t="str">
        <f t="shared" si="9"/>
        <v/>
      </c>
      <c r="F71" s="156">
        <f>F72-1</f>
        <v>84</v>
      </c>
      <c r="G71" s="149">
        <f t="shared" si="10"/>
        <v>96</v>
      </c>
      <c r="H71" s="156">
        <f t="shared" si="11"/>
        <v>20.110393955683143</v>
      </c>
      <c r="I71" s="156">
        <f t="shared" si="12"/>
        <v>19.104409652014585</v>
      </c>
      <c r="J71" s="157">
        <f t="shared" si="13"/>
        <v>39.214803607697732</v>
      </c>
      <c r="K71" s="149">
        <f t="shared" si="16"/>
        <v>1</v>
      </c>
      <c r="L71" s="157">
        <f t="shared" si="14"/>
        <v>39.214803607697732</v>
      </c>
      <c r="M71" s="157">
        <f t="shared" si="15"/>
        <v>84</v>
      </c>
    </row>
    <row r="72" spans="5:13" ht="14.4" x14ac:dyDescent="0.3">
      <c r="E72" s="99" t="str">
        <f t="shared" si="9"/>
        <v/>
      </c>
      <c r="F72" s="156">
        <f>M64</f>
        <v>85</v>
      </c>
      <c r="G72" s="149">
        <f t="shared" si="10"/>
        <v>97</v>
      </c>
      <c r="H72" s="156">
        <f t="shared" si="11"/>
        <v>20.076588802082952</v>
      </c>
      <c r="I72" s="156">
        <f t="shared" si="12"/>
        <v>19.14239374521517</v>
      </c>
      <c r="J72" s="157">
        <f t="shared" si="13"/>
        <v>39.218982547298125</v>
      </c>
      <c r="K72" s="149">
        <f t="shared" si="16"/>
        <v>0</v>
      </c>
      <c r="L72" s="157">
        <f t="shared" si="14"/>
        <v>0</v>
      </c>
      <c r="M72" s="157">
        <f t="shared" si="15"/>
        <v>0</v>
      </c>
    </row>
    <row r="73" spans="5:13" ht="14.4" x14ac:dyDescent="0.3">
      <c r="E73" s="99" t="str">
        <f t="shared" si="9"/>
        <v/>
      </c>
      <c r="F73" s="156">
        <f>F72+1</f>
        <v>86</v>
      </c>
      <c r="G73" s="149">
        <f t="shared" si="10"/>
        <v>98</v>
      </c>
      <c r="H73" s="156">
        <f t="shared" si="11"/>
        <v>20.048993079992407</v>
      </c>
      <c r="I73" s="156">
        <f t="shared" si="12"/>
        <v>19.186384321118616</v>
      </c>
      <c r="J73" s="157">
        <f t="shared" si="13"/>
        <v>39.235377401111023</v>
      </c>
      <c r="K73" s="149">
        <f t="shared" si="16"/>
        <v>0</v>
      </c>
      <c r="L73" s="157">
        <f t="shared" si="14"/>
        <v>0</v>
      </c>
      <c r="M73" s="157">
        <f t="shared" si="15"/>
        <v>0</v>
      </c>
    </row>
    <row r="74" spans="5:13" ht="14.4" x14ac:dyDescent="0.3">
      <c r="E74" s="99" t="str">
        <f t="shared" si="9"/>
        <v/>
      </c>
      <c r="F74" s="156">
        <f>F73+1</f>
        <v>87</v>
      </c>
      <c r="G74" s="149">
        <f t="shared" si="10"/>
        <v>99</v>
      </c>
      <c r="H74" s="156">
        <f t="shared" si="11"/>
        <v>20.027564434500146</v>
      </c>
      <c r="I74" s="156">
        <f t="shared" si="12"/>
        <v>19.236449790288972</v>
      </c>
      <c r="J74" s="157">
        <f t="shared" si="13"/>
        <v>39.264014224789122</v>
      </c>
      <c r="K74" s="149">
        <f t="shared" si="16"/>
        <v>0</v>
      </c>
      <c r="L74" s="157">
        <f t="shared" si="14"/>
        <v>0</v>
      </c>
      <c r="M74" s="157">
        <f t="shared" si="15"/>
        <v>0</v>
      </c>
    </row>
    <row r="75" spans="5:13" ht="14.4" x14ac:dyDescent="0.3">
      <c r="E75" s="99" t="str">
        <f t="shared" si="9"/>
        <v/>
      </c>
      <c r="F75" s="156">
        <f>F74+1</f>
        <v>88</v>
      </c>
      <c r="G75" s="149">
        <f t="shared" si="10"/>
        <v>100</v>
      </c>
      <c r="H75" s="156">
        <f t="shared" si="11"/>
        <v>20.012270072454015</v>
      </c>
      <c r="I75" s="156">
        <f t="shared" si="12"/>
        <v>19.292668468230406</v>
      </c>
      <c r="J75" s="157">
        <f t="shared" si="13"/>
        <v>39.304938540684418</v>
      </c>
      <c r="K75" s="149">
        <f t="shared" si="16"/>
        <v>0</v>
      </c>
      <c r="L75" s="157">
        <f t="shared" si="14"/>
        <v>0</v>
      </c>
      <c r="M75" s="157">
        <f t="shared" si="15"/>
        <v>0</v>
      </c>
    </row>
    <row r="76" spans="5:13" ht="14.4" x14ac:dyDescent="0.3">
      <c r="E76" s="99" t="str">
        <f t="shared" si="9"/>
        <v/>
      </c>
      <c r="F76" s="156">
        <f>F75+1</f>
        <v>89</v>
      </c>
      <c r="G76" s="149">
        <f t="shared" si="10"/>
        <v>101</v>
      </c>
      <c r="H76" s="156">
        <f t="shared" si="11"/>
        <v>20.003086639686977</v>
      </c>
      <c r="I76" s="156">
        <f t="shared" si="12"/>
        <v>19.355128878044241</v>
      </c>
      <c r="J76" s="157">
        <f t="shared" si="13"/>
        <v>39.358215517731217</v>
      </c>
      <c r="K76" s="149">
        <f t="shared" si="16"/>
        <v>0</v>
      </c>
      <c r="L76" s="157">
        <f t="shared" si="14"/>
        <v>0</v>
      </c>
      <c r="M76" s="157">
        <f t="shared" si="15"/>
        <v>0</v>
      </c>
    </row>
    <row r="77" spans="5:13" ht="14.4" x14ac:dyDescent="0.3">
      <c r="E77" s="99" t="str">
        <f t="shared" si="9"/>
        <v/>
      </c>
      <c r="F77" s="156">
        <f>F76+1</f>
        <v>90</v>
      </c>
      <c r="G77" s="149">
        <f t="shared" si="10"/>
        <v>102</v>
      </c>
      <c r="H77" s="156">
        <f t="shared" si="11"/>
        <v>20.000000133861484</v>
      </c>
      <c r="I77" s="156">
        <f t="shared" si="12"/>
        <v>19.423930095791345</v>
      </c>
      <c r="J77" s="157">
        <f t="shared" si="13"/>
        <v>39.423930229652825</v>
      </c>
      <c r="K77" s="149">
        <f t="shared" si="16"/>
        <v>0</v>
      </c>
      <c r="L77" s="157">
        <f t="shared" si="14"/>
        <v>0</v>
      </c>
      <c r="M77" s="157">
        <f t="shared" si="15"/>
        <v>0</v>
      </c>
    </row>
    <row r="79" spans="5:13" ht="14.4" x14ac:dyDescent="0.3">
      <c r="E79" s="99">
        <f>SUM(E28:E77)</f>
        <v>0</v>
      </c>
      <c r="J79" s="157">
        <f>MIN(J67:J77)</f>
        <v>39.214803607697732</v>
      </c>
      <c r="L79" s="157">
        <f>MAX(L67:L77)</f>
        <v>39.214803607697732</v>
      </c>
      <c r="M79" s="157">
        <f>MAX(M67:M77)</f>
        <v>84</v>
      </c>
    </row>
  </sheetData>
  <sheetProtection algorithmName="SHA-512" hashValue="9y3A/euDnw6l4Ci+KOBOprRlSexBzoKuJ7GNW55gmd9Cbzx7RUAKkmH8yEkM0Uxlferzx/LhCKu5QlprMCAk9g==" saltValue="8OfgZ88wgvA/9q9CbDJ2rA==" spinCount="100000" sheet="1" objects="1" scenarios="1" selectLockedCells="1"/>
  <mergeCells count="2">
    <mergeCell ref="B2:D2"/>
    <mergeCell ref="B3:D3"/>
  </mergeCells>
  <phoneticPr fontId="33" type="noConversion"/>
  <printOptions horizontalCentered="1" verticalCentered="1" gridLines="1"/>
  <pageMargins left="0.74803149606299213" right="0.74803149606299213" top="0.59055118110236227" bottom="0.59055118110236227" header="0.51181102362204722" footer="0.51181102362204722"/>
  <pageSetup paperSize="9" scale="37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zoomScale="75" zoomScaleNormal="70" workbookViewId="0">
      <selection activeCell="K5" sqref="K5"/>
    </sheetView>
  </sheetViews>
  <sheetFormatPr baseColWidth="10" defaultColWidth="9.109375" defaultRowHeight="13.8" x14ac:dyDescent="0.25"/>
  <cols>
    <col min="1" max="1" width="4.33203125" style="99" customWidth="1"/>
    <col min="2" max="2" width="7.109375" style="99" customWidth="1"/>
    <col min="3" max="3" width="46.88671875" style="99" customWidth="1"/>
    <col min="4" max="4" width="15.33203125" style="99" customWidth="1"/>
    <col min="5" max="5" width="18.5546875" style="99" customWidth="1"/>
    <col min="6" max="6" width="3.33203125" style="99" customWidth="1"/>
    <col min="7" max="9" width="11.88671875" style="99" customWidth="1"/>
    <col min="10" max="10" width="4.33203125" style="99" customWidth="1"/>
    <col min="11" max="11" width="45.109375" style="99" customWidth="1"/>
    <col min="12" max="12" width="49.109375" style="99" customWidth="1"/>
    <col min="13" max="13" width="7.88671875" style="99" customWidth="1"/>
    <col min="14" max="14" width="9.109375" style="99"/>
    <col min="15" max="15" width="7.44140625" style="99" customWidth="1"/>
    <col min="16" max="16" width="6.6640625" style="99" customWidth="1"/>
    <col min="17" max="17" width="7.5546875" style="99" customWidth="1"/>
    <col min="18" max="18" width="10.109375" style="99" customWidth="1"/>
    <col min="19" max="19" width="8.109375" style="99" customWidth="1"/>
    <col min="20" max="20" width="10.6640625" style="99" customWidth="1"/>
    <col min="21" max="21" width="15.109375" style="99" hidden="1" customWidth="1"/>
    <col min="22" max="22" width="10.6640625" style="99" customWidth="1"/>
    <col min="23" max="23" width="8.5546875" style="99" customWidth="1"/>
    <col min="24" max="16384" width="9.109375" style="99"/>
  </cols>
  <sheetData>
    <row r="1" spans="1:21" x14ac:dyDescent="0.25">
      <c r="E1" s="100"/>
      <c r="F1" s="100"/>
      <c r="L1" s="180" t="s">
        <v>153</v>
      </c>
    </row>
    <row r="2" spans="1:21" ht="32.4" x14ac:dyDescent="0.55000000000000004">
      <c r="B2" s="146" t="s">
        <v>131</v>
      </c>
      <c r="I2" s="15"/>
      <c r="J2" s="147"/>
      <c r="K2" s="146" t="str">
        <f>B2</f>
        <v>IRSA - WORLD RADIO SAILING</v>
      </c>
      <c r="L2" s="147"/>
    </row>
    <row r="3" spans="1:21" ht="26.25" customHeight="1" x14ac:dyDescent="0.4">
      <c r="B3" s="205" t="s">
        <v>178</v>
      </c>
      <c r="C3" s="206"/>
      <c r="D3" s="206"/>
      <c r="E3" s="206"/>
      <c r="F3" s="206"/>
      <c r="G3" s="206"/>
      <c r="H3" s="206"/>
      <c r="I3" s="206"/>
      <c r="K3" s="199" t="str">
        <f>B3</f>
        <v xml:space="preserve">IRSA MARBLEHEAD CLASS RIG/SAIL CERTIFICATION CONTROL FORM               </v>
      </c>
      <c r="L3" s="200"/>
      <c r="M3" s="200"/>
    </row>
    <row r="4" spans="1:21" ht="24.75" customHeight="1" thickBot="1" x14ac:dyDescent="0.45">
      <c r="A4" s="16"/>
      <c r="C4" s="16"/>
      <c r="D4" s="16"/>
      <c r="E4" s="17"/>
      <c r="F4" s="17"/>
      <c r="G4" s="16"/>
      <c r="H4" s="16"/>
      <c r="I4" s="93" t="s">
        <v>132</v>
      </c>
      <c r="J4" s="16"/>
      <c r="K4" s="196"/>
      <c r="L4" s="197"/>
      <c r="M4" s="16"/>
      <c r="N4" s="16"/>
      <c r="O4" s="16"/>
      <c r="P4" s="16"/>
      <c r="Q4" s="16"/>
      <c r="R4" s="16"/>
    </row>
    <row r="5" spans="1:21" ht="19.5" customHeight="1" thickBot="1" x14ac:dyDescent="0.35">
      <c r="A5" s="101"/>
      <c r="B5" s="18" t="s">
        <v>0</v>
      </c>
      <c r="C5" s="193" t="str">
        <f>certificate!E16</f>
        <v>1st April 2018</v>
      </c>
      <c r="D5" s="19" t="s">
        <v>2</v>
      </c>
      <c r="E5" s="20"/>
      <c r="F5" s="102"/>
      <c r="G5" s="207">
        <f>certificate!E10</f>
        <v>5001</v>
      </c>
      <c r="H5" s="208"/>
      <c r="I5" s="209"/>
      <c r="J5" s="101"/>
      <c r="K5" s="180"/>
      <c r="L5" s="180"/>
      <c r="M5" s="101"/>
      <c r="N5" s="101"/>
      <c r="O5" s="101"/>
      <c r="P5" s="101"/>
      <c r="Q5" s="101"/>
      <c r="R5" s="101"/>
    </row>
    <row r="6" spans="1:21" ht="6" customHeight="1" x14ac:dyDescent="0.3">
      <c r="A6" s="16"/>
      <c r="B6" s="16"/>
      <c r="C6" s="16"/>
      <c r="D6" s="16"/>
      <c r="E6" s="17"/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21" ht="18.75" customHeight="1" x14ac:dyDescent="0.3">
      <c r="A7" s="16"/>
      <c r="B7" s="215" t="s">
        <v>3</v>
      </c>
      <c r="C7" s="216"/>
      <c r="D7" s="216"/>
      <c r="E7" s="216"/>
      <c r="F7" s="216"/>
      <c r="G7" s="216"/>
      <c r="H7" s="216"/>
      <c r="I7" s="217"/>
      <c r="J7" s="16"/>
      <c r="K7" s="196"/>
      <c r="L7" s="197"/>
      <c r="M7" s="16"/>
      <c r="N7" s="16"/>
      <c r="O7" s="16"/>
      <c r="P7" s="16"/>
      <c r="Q7" s="16"/>
      <c r="R7" s="16"/>
    </row>
    <row r="8" spans="1:21" ht="18.75" customHeight="1" x14ac:dyDescent="0.3">
      <c r="A8" s="16"/>
      <c r="B8" s="212" t="s">
        <v>118</v>
      </c>
      <c r="C8" s="213"/>
      <c r="D8" s="213"/>
      <c r="E8" s="213"/>
      <c r="F8" s="213"/>
      <c r="G8" s="213"/>
      <c r="H8" s="213"/>
      <c r="I8" s="214"/>
      <c r="J8" s="16"/>
      <c r="K8" s="196"/>
      <c r="L8" s="197"/>
      <c r="M8" s="16"/>
      <c r="N8" s="16"/>
      <c r="O8" s="16"/>
      <c r="P8" s="16"/>
      <c r="Q8" s="16"/>
      <c r="R8" s="16"/>
    </row>
    <row r="9" spans="1:21" ht="18.75" customHeight="1" x14ac:dyDescent="0.35">
      <c r="A9" s="21"/>
      <c r="B9" s="212" t="s">
        <v>149</v>
      </c>
      <c r="C9" s="213"/>
      <c r="D9" s="213"/>
      <c r="E9" s="213"/>
      <c r="F9" s="213"/>
      <c r="G9" s="213"/>
      <c r="H9" s="213"/>
      <c r="I9" s="214"/>
      <c r="J9" s="21"/>
      <c r="K9" s="196"/>
      <c r="L9" s="197"/>
      <c r="M9" s="21"/>
      <c r="N9" s="21"/>
      <c r="O9" s="21"/>
      <c r="P9" s="21"/>
      <c r="Q9" s="21"/>
      <c r="R9" s="21"/>
    </row>
    <row r="10" spans="1:21" ht="18.75" customHeight="1" x14ac:dyDescent="0.35">
      <c r="A10" s="21"/>
      <c r="B10" s="218" t="s">
        <v>150</v>
      </c>
      <c r="C10" s="219"/>
      <c r="D10" s="219"/>
      <c r="E10" s="219"/>
      <c r="F10" s="219"/>
      <c r="G10" s="219"/>
      <c r="H10" s="219"/>
      <c r="I10" s="220"/>
      <c r="J10" s="21"/>
      <c r="K10" s="196"/>
      <c r="L10" s="197"/>
      <c r="M10" s="21"/>
      <c r="N10" s="21"/>
      <c r="O10" s="21"/>
      <c r="P10" s="21"/>
      <c r="Q10" s="21"/>
      <c r="R10" s="21"/>
    </row>
    <row r="11" spans="1:21" ht="24.6" x14ac:dyDescent="0.4">
      <c r="E11" s="1" t="s">
        <v>4</v>
      </c>
      <c r="F11" s="2"/>
      <c r="G11" s="3" t="s">
        <v>5</v>
      </c>
      <c r="H11" s="3" t="s">
        <v>6</v>
      </c>
      <c r="I11" s="3" t="s">
        <v>7</v>
      </c>
      <c r="K11" s="180"/>
    </row>
    <row r="12" spans="1:21" ht="18" thickBot="1" x14ac:dyDescent="0.35">
      <c r="B12" s="4"/>
      <c r="C12" s="5" t="s">
        <v>122</v>
      </c>
      <c r="D12" s="6"/>
      <c r="E12" s="7"/>
      <c r="F12" s="7"/>
      <c r="G12" s="4"/>
      <c r="H12" s="4"/>
      <c r="I12" s="7" t="s">
        <v>8</v>
      </c>
      <c r="K12" s="196"/>
      <c r="L12" s="197"/>
      <c r="M12" s="99" t="s">
        <v>92</v>
      </c>
      <c r="Q12" s="100" t="s">
        <v>85</v>
      </c>
    </row>
    <row r="13" spans="1:21" ht="30.75" customHeight="1" thickBot="1" x14ac:dyDescent="0.35">
      <c r="A13" s="101"/>
      <c r="B13" s="103" t="s">
        <v>5</v>
      </c>
      <c r="C13" s="210" t="s">
        <v>130</v>
      </c>
      <c r="D13" s="211"/>
      <c r="E13" s="211"/>
      <c r="F13" s="104"/>
      <c r="G13" s="190">
        <v>2112</v>
      </c>
      <c r="H13" s="190">
        <v>1850</v>
      </c>
      <c r="I13" s="190">
        <v>1600</v>
      </c>
      <c r="J13" s="101"/>
      <c r="K13" s="196"/>
      <c r="L13" s="197"/>
      <c r="M13" s="176">
        <f>IF(AND(Q13&lt;0,G13&lt;&gt;0),"Luff Error",ROUNDUP(G13,0))</f>
        <v>2112</v>
      </c>
      <c r="N13" s="176">
        <f>IF(AND(R13&lt;0,H13&lt;&gt;0),"Luff Error",ROUNDUP(H13,0))</f>
        <v>1850</v>
      </c>
      <c r="O13" s="176">
        <f>IF(AND(R13&lt;0,H13&lt;&gt;0),"Luff Error",ROUNDUP(I13,0))</f>
        <v>1600</v>
      </c>
      <c r="Q13" s="22">
        <f>G13-H13</f>
        <v>262</v>
      </c>
      <c r="R13" s="23">
        <f>H13-I13</f>
        <v>250</v>
      </c>
    </row>
    <row r="14" spans="1:21" ht="18" thickBot="1" x14ac:dyDescent="0.35">
      <c r="A14" s="101"/>
      <c r="B14" s="103" t="s">
        <v>9</v>
      </c>
      <c r="C14" s="105" t="s">
        <v>10</v>
      </c>
      <c r="D14" s="105"/>
      <c r="E14" s="104"/>
      <c r="F14" s="104"/>
      <c r="G14" s="190">
        <v>46</v>
      </c>
      <c r="H14" s="190">
        <v>35</v>
      </c>
      <c r="I14" s="190">
        <v>35</v>
      </c>
      <c r="J14" s="101"/>
      <c r="K14" s="196"/>
      <c r="L14" s="197"/>
      <c r="M14" s="24">
        <f>ROUNDUP(G14,0)</f>
        <v>46</v>
      </c>
      <c r="N14" s="24">
        <f>ROUNDUP(H14,0)</f>
        <v>35</v>
      </c>
      <c r="O14" s="24">
        <f>ROUNDUP(I14,0)</f>
        <v>35</v>
      </c>
      <c r="Q14" s="101"/>
      <c r="R14" s="101"/>
      <c r="U14" s="162">
        <f>((M15+2*N13+3*O15-10*M18-9*O18+4*M22+5*N23-8*N20-7*O25-6*M26-5*N25+6*M29-4*N30+7*O31-3*M32+8*M34-2*N35+9*O34-M38+10*N37-O38)^2)^0.5</f>
        <v>12185</v>
      </c>
    </row>
    <row r="15" spans="1:21" ht="17.399999999999999" x14ac:dyDescent="0.35">
      <c r="B15" s="106"/>
      <c r="C15" s="107" t="s">
        <v>11</v>
      </c>
      <c r="D15" s="107"/>
      <c r="E15" s="108" t="s">
        <v>12</v>
      </c>
      <c r="F15" s="108"/>
      <c r="G15" s="25">
        <f>IF(M15&lt;2150.1,(M15),2160)</f>
        <v>2160</v>
      </c>
      <c r="H15" s="25">
        <f>IF(N15&lt;2150.1,(N15),2160)</f>
        <v>1885</v>
      </c>
      <c r="I15" s="25">
        <f>IF(O15&lt;2150.1,(O15),2160)</f>
        <v>1635</v>
      </c>
      <c r="K15" s="196"/>
      <c r="L15" s="197"/>
      <c r="M15" s="109">
        <f>M13+M14</f>
        <v>2158</v>
      </c>
      <c r="N15" s="109">
        <f>N13+N14</f>
        <v>1885</v>
      </c>
      <c r="O15" s="109">
        <f>O13+O14</f>
        <v>1635</v>
      </c>
      <c r="U15" s="163">
        <f>12.6791+U14^0.7394</f>
        <v>1062.3650868740808</v>
      </c>
    </row>
    <row r="16" spans="1:21" ht="18" thickBot="1" x14ac:dyDescent="0.4">
      <c r="B16" s="106" t="s">
        <v>13</v>
      </c>
      <c r="C16" s="107" t="s">
        <v>14</v>
      </c>
      <c r="D16" s="107"/>
      <c r="E16" s="108" t="s">
        <v>15</v>
      </c>
      <c r="F16" s="108"/>
      <c r="G16" s="26">
        <f>ROUND(0.8*M15,0)</f>
        <v>1726</v>
      </c>
      <c r="H16" s="26">
        <f>ROUND(0.8*N15,0)</f>
        <v>1508</v>
      </c>
      <c r="I16" s="27">
        <f>ROUND(0.8*O15,0)</f>
        <v>1308</v>
      </c>
      <c r="J16" s="110"/>
      <c r="K16" s="196"/>
      <c r="L16" s="197"/>
      <c r="M16" s="112"/>
      <c r="N16" s="112"/>
      <c r="O16" s="112"/>
      <c r="U16" s="164">
        <f>INT(10000*U15)</f>
        <v>10623650</v>
      </c>
    </row>
    <row r="17" spans="1:25" ht="18" thickBot="1" x14ac:dyDescent="0.35">
      <c r="A17" s="28"/>
      <c r="B17" s="4"/>
      <c r="C17" s="5" t="s">
        <v>123</v>
      </c>
      <c r="D17" s="6"/>
      <c r="E17" s="7"/>
      <c r="F17" s="7"/>
      <c r="G17" s="4"/>
      <c r="H17" s="4"/>
      <c r="I17" s="4"/>
      <c r="J17" s="28"/>
      <c r="K17" s="196"/>
      <c r="L17" s="197"/>
      <c r="M17" s="29"/>
      <c r="N17" s="29"/>
      <c r="O17" s="29"/>
      <c r="Q17" s="28"/>
      <c r="R17" s="28"/>
      <c r="U17" s="164">
        <f>100*INT(100*U15)</f>
        <v>10623600</v>
      </c>
    </row>
    <row r="18" spans="1:25" ht="18" thickBot="1" x14ac:dyDescent="0.35">
      <c r="A18" s="101"/>
      <c r="B18" s="114" t="s">
        <v>6</v>
      </c>
      <c r="C18" s="30" t="s">
        <v>16</v>
      </c>
      <c r="D18" s="115"/>
      <c r="E18" s="116" t="s">
        <v>17</v>
      </c>
      <c r="F18" s="116"/>
      <c r="G18" s="190">
        <v>350</v>
      </c>
      <c r="H18" s="190">
        <v>331</v>
      </c>
      <c r="I18" s="190">
        <v>390</v>
      </c>
      <c r="J18" s="101"/>
      <c r="K18" s="196"/>
      <c r="L18" s="197"/>
      <c r="M18" s="24">
        <f t="shared" ref="M18:O19" si="0">ROUNDUP(G18,0)</f>
        <v>350</v>
      </c>
      <c r="N18" s="24">
        <f t="shared" si="0"/>
        <v>331</v>
      </c>
      <c r="O18" s="24">
        <f t="shared" si="0"/>
        <v>390</v>
      </c>
      <c r="Q18" s="101" t="s">
        <v>97</v>
      </c>
      <c r="R18" s="101"/>
      <c r="U18" s="164">
        <f>U16-U17</f>
        <v>50</v>
      </c>
    </row>
    <row r="19" spans="1:25" ht="18" thickBot="1" x14ac:dyDescent="0.35">
      <c r="A19" s="101"/>
      <c r="B19" s="103"/>
      <c r="C19" s="31" t="s">
        <v>18</v>
      </c>
      <c r="D19" s="105"/>
      <c r="E19" s="104"/>
      <c r="F19" s="104"/>
      <c r="G19" s="190">
        <v>325</v>
      </c>
      <c r="H19" s="190">
        <v>309</v>
      </c>
      <c r="I19" s="190">
        <v>360</v>
      </c>
      <c r="J19" s="101"/>
      <c r="K19" s="196"/>
      <c r="L19" s="197"/>
      <c r="M19" s="24">
        <f t="shared" si="0"/>
        <v>325</v>
      </c>
      <c r="N19" s="24">
        <f t="shared" si="0"/>
        <v>309</v>
      </c>
      <c r="O19" s="24">
        <f t="shared" si="0"/>
        <v>360</v>
      </c>
      <c r="Q19" s="117">
        <f>IF(G20&gt;G19,G20,G19)</f>
        <v>326</v>
      </c>
      <c r="R19" s="118">
        <f>IF(H20&gt;H19,H20,H19)</f>
        <v>311</v>
      </c>
      <c r="S19" s="119">
        <f>IF(I20&gt;I19,I20,I19)</f>
        <v>360</v>
      </c>
    </row>
    <row r="20" spans="1:25" ht="17.399999999999999" x14ac:dyDescent="0.35">
      <c r="A20" s="101"/>
      <c r="B20" s="103"/>
      <c r="C20" s="105" t="s">
        <v>19</v>
      </c>
      <c r="D20" s="105"/>
      <c r="E20" s="104" t="s">
        <v>20</v>
      </c>
      <c r="F20" s="120"/>
      <c r="G20" s="32">
        <f>M20</f>
        <v>326</v>
      </c>
      <c r="H20" s="32">
        <f>N20</f>
        <v>311</v>
      </c>
      <c r="I20" s="32">
        <f>O20</f>
        <v>356</v>
      </c>
      <c r="J20" s="101"/>
      <c r="K20" s="196"/>
      <c r="L20" s="197"/>
      <c r="M20" s="122">
        <f>ROUND(0.75*M18+63,0)</f>
        <v>326</v>
      </c>
      <c r="N20" s="122">
        <f>ROUND(0.75*N18+63,0)</f>
        <v>311</v>
      </c>
      <c r="O20" s="122">
        <f>ROUND(0.75*O18+63,0)</f>
        <v>356</v>
      </c>
      <c r="Q20" s="124"/>
      <c r="R20" s="125"/>
      <c r="S20" s="113"/>
    </row>
    <row r="21" spans="1:25" ht="18" thickBot="1" x14ac:dyDescent="0.4">
      <c r="A21" s="101"/>
      <c r="B21" s="103" t="s">
        <v>21</v>
      </c>
      <c r="C21" s="105" t="s">
        <v>22</v>
      </c>
      <c r="D21" s="105"/>
      <c r="E21" s="104"/>
      <c r="F21" s="120"/>
      <c r="G21" s="32">
        <f>IF(M21&gt;0,M21,0)</f>
        <v>0</v>
      </c>
      <c r="H21" s="32">
        <f>IF(N21&gt;0,N21,0)</f>
        <v>0</v>
      </c>
      <c r="I21" s="32">
        <f>IF(O21&gt;0,O21,0)</f>
        <v>4</v>
      </c>
      <c r="J21" s="101"/>
      <c r="K21" s="196"/>
      <c r="L21" s="197"/>
      <c r="M21" s="126">
        <f>IF(M19-M20&lt;0,0,M19-M20)</f>
        <v>0</v>
      </c>
      <c r="N21" s="126">
        <f>IF(N19-N20&lt;0,0,N19-N20)</f>
        <v>0</v>
      </c>
      <c r="O21" s="126">
        <f>IF(O19-O20&lt;0,0,O19-O20)</f>
        <v>4</v>
      </c>
      <c r="Q21" s="124"/>
      <c r="R21" s="125"/>
      <c r="S21" s="113"/>
    </row>
    <row r="22" spans="1:25" ht="18" thickBot="1" x14ac:dyDescent="0.35">
      <c r="A22" s="101"/>
      <c r="B22" s="103"/>
      <c r="C22" s="31" t="s">
        <v>23</v>
      </c>
      <c r="D22" s="105"/>
      <c r="E22" s="104"/>
      <c r="F22" s="120"/>
      <c r="G22" s="190">
        <v>253</v>
      </c>
      <c r="H22" s="190">
        <v>234</v>
      </c>
      <c r="I22" s="190">
        <v>268</v>
      </c>
      <c r="J22" s="101"/>
      <c r="K22" s="196"/>
      <c r="L22" s="197"/>
      <c r="M22" s="24">
        <f>ROUNDUP(G22,0)</f>
        <v>253</v>
      </c>
      <c r="N22" s="24">
        <f>ROUNDUP(H22,0)</f>
        <v>234</v>
      </c>
      <c r="O22" s="24">
        <f>ROUNDUP(I22,0)</f>
        <v>268</v>
      </c>
      <c r="Q22" s="121">
        <f>IF(G23&gt;G22,G23,G22)</f>
        <v>253</v>
      </c>
      <c r="R22" s="122">
        <f>IF(H23&gt;H22,H23,H22)</f>
        <v>238</v>
      </c>
      <c r="S22" s="123">
        <f>IF(I23&gt;I22,I23,I22)</f>
        <v>268</v>
      </c>
    </row>
    <row r="23" spans="1:25" ht="17.399999999999999" x14ac:dyDescent="0.35">
      <c r="A23" s="101"/>
      <c r="B23" s="103"/>
      <c r="C23" s="105" t="s">
        <v>24</v>
      </c>
      <c r="D23" s="105"/>
      <c r="E23" s="104" t="s">
        <v>25</v>
      </c>
      <c r="F23" s="120"/>
      <c r="G23" s="32">
        <f>M23</f>
        <v>247</v>
      </c>
      <c r="H23" s="32">
        <f>N23</f>
        <v>238</v>
      </c>
      <c r="I23" s="32">
        <f>O23</f>
        <v>267</v>
      </c>
      <c r="J23" s="101"/>
      <c r="K23" s="196"/>
      <c r="L23" s="197"/>
      <c r="M23" s="122">
        <f>ROUND(0.5*M18+72,0)</f>
        <v>247</v>
      </c>
      <c r="N23" s="122">
        <f>ROUND(0.5*N18+72,0)</f>
        <v>238</v>
      </c>
      <c r="O23" s="122">
        <f>ROUND(0.5*O18+72,0)</f>
        <v>267</v>
      </c>
      <c r="Q23" s="124"/>
      <c r="R23" s="125"/>
      <c r="S23" s="113"/>
    </row>
    <row r="24" spans="1:25" ht="18" thickBot="1" x14ac:dyDescent="0.4">
      <c r="A24" s="101"/>
      <c r="B24" s="103" t="s">
        <v>26</v>
      </c>
      <c r="C24" s="105" t="s">
        <v>27</v>
      </c>
      <c r="D24" s="105"/>
      <c r="E24" s="104"/>
      <c r="F24" s="120"/>
      <c r="G24" s="32">
        <f>IF(M24&gt;0,M24,0)</f>
        <v>6</v>
      </c>
      <c r="H24" s="32">
        <f>IF(N24&gt;0,N24,0)</f>
        <v>0</v>
      </c>
      <c r="I24" s="32">
        <f>IF(O24&gt;0,O24,0)</f>
        <v>1</v>
      </c>
      <c r="J24" s="101"/>
      <c r="K24" s="196"/>
      <c r="L24" s="197"/>
      <c r="M24" s="126">
        <f>IF(M22-M23&lt;0,0,M22-M23)</f>
        <v>6</v>
      </c>
      <c r="N24" s="126">
        <f>IF(N22-N23&lt;0,0,N22-N23)</f>
        <v>0</v>
      </c>
      <c r="O24" s="126">
        <f>IF(O22-O23&lt;0,0,O22-O23)</f>
        <v>1</v>
      </c>
      <c r="Q24" s="124"/>
      <c r="R24" s="125"/>
      <c r="S24" s="113"/>
    </row>
    <row r="25" spans="1:25" ht="18" thickBot="1" x14ac:dyDescent="0.35">
      <c r="A25" s="101"/>
      <c r="B25" s="103"/>
      <c r="C25" s="31" t="s">
        <v>28</v>
      </c>
      <c r="D25" s="105"/>
      <c r="E25" s="104"/>
      <c r="F25" s="120"/>
      <c r="G25" s="190">
        <v>168</v>
      </c>
      <c r="H25" s="190">
        <v>155</v>
      </c>
      <c r="I25" s="190">
        <v>168</v>
      </c>
      <c r="J25" s="101"/>
      <c r="K25" s="196"/>
      <c r="L25" s="197"/>
      <c r="M25" s="24">
        <f>ROUNDUP(G25,0)</f>
        <v>168</v>
      </c>
      <c r="N25" s="24">
        <f>ROUNDUP(H25,0)</f>
        <v>155</v>
      </c>
      <c r="O25" s="24">
        <f>ROUNDUP(I25,0)</f>
        <v>168</v>
      </c>
      <c r="Q25" s="121">
        <f>IF(G26&gt;G25,G26,G25)</f>
        <v>168</v>
      </c>
      <c r="R25" s="122">
        <f>IF(H26&gt;H25,H26,H25)</f>
        <v>155</v>
      </c>
      <c r="S25" s="123">
        <f>IF(I26&gt;I25,I26,I25)</f>
        <v>170</v>
      </c>
    </row>
    <row r="26" spans="1:25" ht="17.399999999999999" x14ac:dyDescent="0.35">
      <c r="A26" s="101"/>
      <c r="B26" s="103"/>
      <c r="C26" s="105" t="s">
        <v>29</v>
      </c>
      <c r="D26" s="105"/>
      <c r="E26" s="104" t="s">
        <v>30</v>
      </c>
      <c r="F26" s="120"/>
      <c r="G26" s="32">
        <f>M26</f>
        <v>160</v>
      </c>
      <c r="H26" s="32">
        <f>N26</f>
        <v>155</v>
      </c>
      <c r="I26" s="32">
        <f>O26</f>
        <v>170</v>
      </c>
      <c r="J26" s="101"/>
      <c r="K26" s="196"/>
      <c r="L26" s="197"/>
      <c r="M26" s="122">
        <f>ROUND(0.25*M18+72,0)</f>
        <v>160</v>
      </c>
      <c r="N26" s="122">
        <f>ROUND(0.25*N18+72,0)</f>
        <v>155</v>
      </c>
      <c r="O26" s="122">
        <f>ROUND(0.25*O18+72,0)</f>
        <v>170</v>
      </c>
      <c r="Q26" s="124"/>
      <c r="R26" s="125"/>
      <c r="S26" s="113"/>
    </row>
    <row r="27" spans="1:25" ht="17.399999999999999" x14ac:dyDescent="0.35">
      <c r="A27" s="101"/>
      <c r="B27" s="103" t="s">
        <v>31</v>
      </c>
      <c r="C27" s="105" t="s">
        <v>32</v>
      </c>
      <c r="D27" s="105"/>
      <c r="E27" s="104"/>
      <c r="F27" s="120"/>
      <c r="G27" s="32">
        <f>IF(M27&gt;0,M27,0)</f>
        <v>8</v>
      </c>
      <c r="H27" s="32">
        <f>IF(N27&gt;0,N27,0)</f>
        <v>0</v>
      </c>
      <c r="I27" s="32">
        <f>IF(O27&gt;0,O27,0)</f>
        <v>0</v>
      </c>
      <c r="J27" s="101"/>
      <c r="K27" s="196"/>
      <c r="L27" s="197"/>
      <c r="M27" s="126">
        <f>IF(M25-M26&lt;0,0,M25-M26)</f>
        <v>8</v>
      </c>
      <c r="N27" s="126">
        <f>IF(N25-N26&lt;0,0,N25-N26)</f>
        <v>0</v>
      </c>
      <c r="O27" s="126">
        <f>IF(O25-O26&lt;0,0,O25-O26)</f>
        <v>0</v>
      </c>
      <c r="Q27" s="124"/>
      <c r="R27" s="125"/>
      <c r="S27" s="113"/>
    </row>
    <row r="28" spans="1:25" ht="18" thickBot="1" x14ac:dyDescent="0.35">
      <c r="B28" s="4"/>
      <c r="C28" s="5" t="s">
        <v>124</v>
      </c>
      <c r="D28" s="6"/>
      <c r="E28" s="7"/>
      <c r="F28" s="7"/>
      <c r="G28" s="4"/>
      <c r="H28" s="4"/>
      <c r="I28" s="33"/>
      <c r="K28" s="196"/>
      <c r="L28" s="197"/>
      <c r="M28" s="112"/>
      <c r="N28" s="112"/>
      <c r="O28" s="112"/>
      <c r="Q28" s="111"/>
      <c r="R28" s="112"/>
      <c r="S28" s="113"/>
    </row>
    <row r="29" spans="1:25" ht="18" thickBot="1" x14ac:dyDescent="0.35">
      <c r="A29" s="101"/>
      <c r="B29" s="103" t="s">
        <v>33</v>
      </c>
      <c r="C29" s="31" t="s">
        <v>34</v>
      </c>
      <c r="D29" s="105"/>
      <c r="E29" s="104"/>
      <c r="F29" s="120"/>
      <c r="G29" s="190">
        <v>1214</v>
      </c>
      <c r="H29" s="190">
        <v>1236</v>
      </c>
      <c r="I29" s="190">
        <v>1105</v>
      </c>
      <c r="J29" s="101"/>
      <c r="K29" s="196"/>
      <c r="L29" s="197"/>
      <c r="M29" s="24">
        <f t="shared" ref="M29:O31" si="1">ROUNDUP(G29,0)</f>
        <v>1214</v>
      </c>
      <c r="N29" s="24">
        <f t="shared" si="1"/>
        <v>1236</v>
      </c>
      <c r="O29" s="24">
        <f t="shared" si="1"/>
        <v>1105</v>
      </c>
      <c r="Q29" s="124"/>
      <c r="R29" s="125"/>
      <c r="S29" s="113"/>
    </row>
    <row r="30" spans="1:25" ht="18" thickBot="1" x14ac:dyDescent="0.35">
      <c r="A30" s="101"/>
      <c r="B30" s="103" t="s">
        <v>35</v>
      </c>
      <c r="C30" s="105" t="s">
        <v>36</v>
      </c>
      <c r="D30" s="105"/>
      <c r="E30" s="104" t="s">
        <v>17</v>
      </c>
      <c r="F30" s="120"/>
      <c r="G30" s="190">
        <v>225</v>
      </c>
      <c r="H30" s="190">
        <v>337</v>
      </c>
      <c r="I30" s="190">
        <v>350</v>
      </c>
      <c r="J30" s="101"/>
      <c r="K30" s="196"/>
      <c r="L30" s="197"/>
      <c r="M30" s="24">
        <f t="shared" si="1"/>
        <v>225</v>
      </c>
      <c r="N30" s="24">
        <f t="shared" si="1"/>
        <v>337</v>
      </c>
      <c r="O30" s="24">
        <f t="shared" si="1"/>
        <v>350</v>
      </c>
      <c r="Q30" s="124"/>
      <c r="R30" s="125"/>
      <c r="S30" s="113"/>
      <c r="Y30" s="166"/>
    </row>
    <row r="31" spans="1:25" ht="18" thickBot="1" x14ac:dyDescent="0.35">
      <c r="A31" s="101"/>
      <c r="B31" s="103"/>
      <c r="C31" s="31" t="s">
        <v>18</v>
      </c>
      <c r="D31" s="105"/>
      <c r="E31" s="104"/>
      <c r="F31" s="120"/>
      <c r="G31" s="190">
        <v>223</v>
      </c>
      <c r="H31" s="190">
        <v>308</v>
      </c>
      <c r="I31" s="190">
        <v>317</v>
      </c>
      <c r="J31" s="101"/>
      <c r="K31" s="196"/>
      <c r="L31" s="197"/>
      <c r="M31" s="24">
        <f t="shared" si="1"/>
        <v>223</v>
      </c>
      <c r="N31" s="24">
        <f t="shared" si="1"/>
        <v>308</v>
      </c>
      <c r="O31" s="24">
        <f t="shared" si="1"/>
        <v>317</v>
      </c>
      <c r="Q31" s="121">
        <f>IF(G32&gt;G31,G32,G31)</f>
        <v>224</v>
      </c>
      <c r="R31" s="122">
        <f>IF(H32&gt;H31,H32,H31)</f>
        <v>308</v>
      </c>
      <c r="S31" s="123">
        <f>IF(I32&gt;I31,I32,I31)</f>
        <v>318</v>
      </c>
    </row>
    <row r="32" spans="1:25" ht="17.399999999999999" x14ac:dyDescent="0.35">
      <c r="A32" s="101"/>
      <c r="B32" s="103"/>
      <c r="C32" s="105" t="s">
        <v>19</v>
      </c>
      <c r="D32" s="105"/>
      <c r="E32" s="104" t="s">
        <v>37</v>
      </c>
      <c r="F32" s="120"/>
      <c r="G32" s="32">
        <f>M32</f>
        <v>224</v>
      </c>
      <c r="H32" s="32">
        <f>N32</f>
        <v>308</v>
      </c>
      <c r="I32" s="32">
        <f>O32</f>
        <v>318</v>
      </c>
      <c r="J32" s="101"/>
      <c r="K32" s="196"/>
      <c r="L32" s="197"/>
      <c r="M32" s="122">
        <f>ROUND(0.75*M30+55,0)</f>
        <v>224</v>
      </c>
      <c r="N32" s="122">
        <f>ROUND(0.75*N30+55,0)</f>
        <v>308</v>
      </c>
      <c r="O32" s="122">
        <f>ROUND(0.75*O30+55,0)</f>
        <v>318</v>
      </c>
      <c r="Q32" s="124"/>
      <c r="R32" s="125"/>
      <c r="S32" s="113"/>
    </row>
    <row r="33" spans="1:19" ht="18" thickBot="1" x14ac:dyDescent="0.4">
      <c r="A33" s="101"/>
      <c r="B33" s="103" t="s">
        <v>38</v>
      </c>
      <c r="C33" s="105" t="s">
        <v>22</v>
      </c>
      <c r="D33" s="105"/>
      <c r="E33" s="104"/>
      <c r="F33" s="120"/>
      <c r="G33" s="32">
        <f>IF(M33&gt;0,M33,0)</f>
        <v>0</v>
      </c>
      <c r="H33" s="32">
        <f>IF(N33&gt;0,N33,0)</f>
        <v>0</v>
      </c>
      <c r="I33" s="32">
        <f>IF(O33&gt;0,O33,0)</f>
        <v>0</v>
      </c>
      <c r="J33" s="101"/>
      <c r="K33" s="196"/>
      <c r="L33" s="197"/>
      <c r="M33" s="126">
        <f>IF(M31-M32&lt;0,0,M31-M32)</f>
        <v>0</v>
      </c>
      <c r="N33" s="126">
        <f>IF(N31-N32&lt;0,0,N31-N32)</f>
        <v>0</v>
      </c>
      <c r="O33" s="126">
        <f>IF(O31-O32&lt;0,0,O31-O32)</f>
        <v>0</v>
      </c>
      <c r="Q33" s="124"/>
      <c r="R33" s="125"/>
      <c r="S33" s="113"/>
    </row>
    <row r="34" spans="1:19" ht="18" thickBot="1" x14ac:dyDescent="0.35">
      <c r="A34" s="101"/>
      <c r="B34" s="103"/>
      <c r="C34" s="31" t="s">
        <v>23</v>
      </c>
      <c r="D34" s="105"/>
      <c r="E34" s="104"/>
      <c r="F34" s="120"/>
      <c r="G34" s="190">
        <v>170</v>
      </c>
      <c r="H34" s="190">
        <v>225</v>
      </c>
      <c r="I34" s="190">
        <v>232</v>
      </c>
      <c r="J34" s="101"/>
      <c r="K34" s="196"/>
      <c r="L34" s="197"/>
      <c r="M34" s="24">
        <f>ROUNDUP(G34,0)</f>
        <v>170</v>
      </c>
      <c r="N34" s="24">
        <f>ROUNDUP(H34,0)</f>
        <v>225</v>
      </c>
      <c r="O34" s="24">
        <f>ROUNDUP(I34,0)</f>
        <v>232</v>
      </c>
      <c r="Q34" s="121">
        <f>IF(G35&gt;G34,G35,G34)</f>
        <v>173</v>
      </c>
      <c r="R34" s="122">
        <f>IF(H35&gt;H34,H35,H34)</f>
        <v>229</v>
      </c>
      <c r="S34" s="123">
        <f>IF(I35&gt;I34,I35,I34)</f>
        <v>235</v>
      </c>
    </row>
    <row r="35" spans="1:19" ht="17.399999999999999" x14ac:dyDescent="0.35">
      <c r="A35" s="101"/>
      <c r="B35" s="103"/>
      <c r="C35" s="105" t="s">
        <v>39</v>
      </c>
      <c r="D35" s="105"/>
      <c r="E35" s="104" t="s">
        <v>40</v>
      </c>
      <c r="F35" s="120"/>
      <c r="G35" s="32">
        <f>M35</f>
        <v>173</v>
      </c>
      <c r="H35" s="32">
        <f>N35</f>
        <v>229</v>
      </c>
      <c r="I35" s="32">
        <f>O35</f>
        <v>235</v>
      </c>
      <c r="J35" s="101"/>
      <c r="K35" s="196"/>
      <c r="L35" s="197"/>
      <c r="M35" s="122">
        <f>ROUND(0.5*M30+60,0)</f>
        <v>173</v>
      </c>
      <c r="N35" s="122">
        <f>ROUND(0.5*N30+60,0)</f>
        <v>229</v>
      </c>
      <c r="O35" s="122">
        <f>ROUND(0.5*O30+60,0)</f>
        <v>235</v>
      </c>
      <c r="Q35" s="111"/>
      <c r="R35" s="112"/>
      <c r="S35" s="113"/>
    </row>
    <row r="36" spans="1:19" ht="18" thickBot="1" x14ac:dyDescent="0.4">
      <c r="A36" s="101"/>
      <c r="B36" s="103" t="s">
        <v>41</v>
      </c>
      <c r="C36" s="105" t="s">
        <v>27</v>
      </c>
      <c r="D36" s="105"/>
      <c r="E36" s="104"/>
      <c r="F36" s="120"/>
      <c r="G36" s="32">
        <f>IF(M36&gt;0,M36,0)</f>
        <v>0</v>
      </c>
      <c r="H36" s="32">
        <f>IF(N36&gt;0,N36,0)</f>
        <v>0</v>
      </c>
      <c r="I36" s="32">
        <f>IF(O36&gt;0,O36,0)</f>
        <v>0</v>
      </c>
      <c r="J36" s="101"/>
      <c r="K36" s="196"/>
      <c r="L36" s="197"/>
      <c r="M36" s="126">
        <f>IF(M34-M35&lt;0,0,M34-M35)</f>
        <v>0</v>
      </c>
      <c r="N36" s="126">
        <f>IF(N34-N35&lt;0,0,N34-N35)</f>
        <v>0</v>
      </c>
      <c r="O36" s="126">
        <f>IF(O34-O35&lt;0,0,O34-O35)</f>
        <v>0</v>
      </c>
      <c r="Q36" s="124"/>
      <c r="R36" s="125"/>
      <c r="S36" s="113"/>
    </row>
    <row r="37" spans="1:19" ht="18" thickBot="1" x14ac:dyDescent="0.35">
      <c r="A37" s="101"/>
      <c r="B37" s="103"/>
      <c r="C37" s="31" t="s">
        <v>28</v>
      </c>
      <c r="D37" s="105"/>
      <c r="E37" s="104"/>
      <c r="F37" s="120"/>
      <c r="G37" s="190">
        <v>115</v>
      </c>
      <c r="H37" s="190">
        <v>142</v>
      </c>
      <c r="I37" s="190">
        <v>145</v>
      </c>
      <c r="J37" s="101"/>
      <c r="K37" s="196"/>
      <c r="L37" s="197"/>
      <c r="M37" s="24">
        <f>ROUNDUP(G37,0)</f>
        <v>115</v>
      </c>
      <c r="N37" s="24">
        <f>ROUNDUP(H37,0)</f>
        <v>142</v>
      </c>
      <c r="O37" s="24">
        <f>ROUNDUP(I37,0)</f>
        <v>145</v>
      </c>
      <c r="Q37" s="127">
        <f>IF(G38&gt;G37,G38,G37)</f>
        <v>116</v>
      </c>
      <c r="R37" s="128">
        <f>IF(H38&gt;H37,H38,H37)</f>
        <v>144</v>
      </c>
      <c r="S37" s="129">
        <f>IF(I38&gt;I37,I38,I37)</f>
        <v>148</v>
      </c>
    </row>
    <row r="38" spans="1:19" ht="17.399999999999999" x14ac:dyDescent="0.35">
      <c r="B38" s="106"/>
      <c r="C38" s="107" t="s">
        <v>29</v>
      </c>
      <c r="D38" s="107"/>
      <c r="E38" s="108" t="s">
        <v>42</v>
      </c>
      <c r="F38" s="130"/>
      <c r="G38" s="32">
        <f>M38</f>
        <v>116</v>
      </c>
      <c r="H38" s="32">
        <f>N38</f>
        <v>144</v>
      </c>
      <c r="I38" s="32">
        <f>O38</f>
        <v>148</v>
      </c>
      <c r="K38" s="196"/>
      <c r="L38" s="197"/>
      <c r="M38" s="122">
        <f>ROUND(0.25*M30+60,0)</f>
        <v>116</v>
      </c>
      <c r="N38" s="122">
        <f>ROUND(0.25*N30+60,0)</f>
        <v>144</v>
      </c>
      <c r="O38" s="122">
        <f>ROUND(0.25*O30+60,0)</f>
        <v>148</v>
      </c>
    </row>
    <row r="39" spans="1:19" ht="17.399999999999999" x14ac:dyDescent="0.35">
      <c r="B39" s="106" t="s">
        <v>43</v>
      </c>
      <c r="C39" s="107" t="s">
        <v>32</v>
      </c>
      <c r="D39" s="107"/>
      <c r="E39" s="108"/>
      <c r="F39" s="130"/>
      <c r="G39" s="32">
        <f>IF(M39&gt;0,M39,0)</f>
        <v>0</v>
      </c>
      <c r="H39" s="32">
        <f>IF(N39&gt;0,N39,0)</f>
        <v>0</v>
      </c>
      <c r="I39" s="32">
        <f>IF(O39&gt;0,O39,0)</f>
        <v>0</v>
      </c>
      <c r="K39" s="196"/>
      <c r="L39" s="197"/>
      <c r="M39" s="126">
        <f>IF(M37-M38&lt;0,0,M37-M38)</f>
        <v>0</v>
      </c>
      <c r="N39" s="126">
        <f>IF(N37-N38&lt;0,0,N37-N38)</f>
        <v>0</v>
      </c>
      <c r="O39" s="126">
        <f>IF(O37-O38&lt;0,0,O37-O38)</f>
        <v>0</v>
      </c>
    </row>
    <row r="40" spans="1:19" ht="17.399999999999999" x14ac:dyDescent="0.3">
      <c r="B40" s="4"/>
      <c r="C40" s="5" t="s">
        <v>125</v>
      </c>
      <c r="D40" s="6"/>
      <c r="E40" s="7"/>
      <c r="F40" s="7"/>
      <c r="G40" s="4"/>
      <c r="H40" s="4"/>
      <c r="I40" s="33"/>
      <c r="K40" s="196"/>
      <c r="L40" s="197"/>
    </row>
    <row r="41" spans="1:19" ht="17.399999999999999" x14ac:dyDescent="0.35">
      <c r="B41" s="106" t="s">
        <v>44</v>
      </c>
      <c r="C41" s="107" t="s">
        <v>45</v>
      </c>
      <c r="D41" s="105"/>
      <c r="E41" s="104" t="s">
        <v>138</v>
      </c>
      <c r="F41" s="130"/>
      <c r="G41" s="34">
        <f>ROUND(M13*M18*0.5,0)</f>
        <v>369600</v>
      </c>
      <c r="H41" s="34">
        <f>ROUND(N13*N18*0.5,0)</f>
        <v>306175</v>
      </c>
      <c r="I41" s="34">
        <f>ROUND(O13*O18*0.5,0)</f>
        <v>312000</v>
      </c>
      <c r="K41" s="196"/>
      <c r="L41" s="197"/>
    </row>
    <row r="42" spans="1:19" ht="17.399999999999999" x14ac:dyDescent="0.35">
      <c r="B42" s="106" t="s">
        <v>46</v>
      </c>
      <c r="C42" s="107" t="s">
        <v>47</v>
      </c>
      <c r="D42" s="105"/>
      <c r="E42" s="104" t="s">
        <v>139</v>
      </c>
      <c r="F42" s="130"/>
      <c r="G42" s="35">
        <f>ROUND(M13*((2*M21)+M24+(2*M27))/6,0)</f>
        <v>7744</v>
      </c>
      <c r="H42" s="35">
        <f>ROUND(N13*((2*N21)+N24+(2*N27))/6,0)</f>
        <v>0</v>
      </c>
      <c r="I42" s="35">
        <f>ROUND(O13*((2*O21)+O24+(2*O27))/6,0)</f>
        <v>2400</v>
      </c>
      <c r="K42" s="196"/>
      <c r="L42" s="197"/>
    </row>
    <row r="43" spans="1:19" ht="17.399999999999999" x14ac:dyDescent="0.35">
      <c r="B43" s="106"/>
      <c r="C43" s="107" t="s">
        <v>160</v>
      </c>
      <c r="D43" s="105"/>
      <c r="E43" s="104" t="s">
        <v>161</v>
      </c>
      <c r="F43" s="130"/>
      <c r="G43" s="186">
        <f>(G41+G42)/1000000</f>
        <v>0.37734400000000001</v>
      </c>
      <c r="H43" s="186">
        <f>(H41+H42)/1000000</f>
        <v>0.30617499999999997</v>
      </c>
      <c r="I43" s="186">
        <f>(I41+I42)/1000000</f>
        <v>0.31440000000000001</v>
      </c>
      <c r="K43" s="181"/>
      <c r="L43" s="182"/>
    </row>
    <row r="44" spans="1:19" ht="17.399999999999999" x14ac:dyDescent="0.35">
      <c r="B44" s="106" t="s">
        <v>127</v>
      </c>
      <c r="C44" s="107" t="s">
        <v>155</v>
      </c>
      <c r="D44" s="105"/>
      <c r="E44" s="104" t="s">
        <v>140</v>
      </c>
      <c r="F44" s="130"/>
      <c r="G44" s="34">
        <f>ROUND(M29*M30*0.5,0)</f>
        <v>136575</v>
      </c>
      <c r="H44" s="34">
        <f>ROUND(N29*N30*0.5,0)</f>
        <v>208266</v>
      </c>
      <c r="I44" s="34">
        <f>ROUND(O29*O30*0.5,0)</f>
        <v>193375</v>
      </c>
      <c r="K44" s="196"/>
      <c r="L44" s="197"/>
    </row>
    <row r="45" spans="1:19" ht="17.399999999999999" x14ac:dyDescent="0.35">
      <c r="B45" s="106" t="s">
        <v>128</v>
      </c>
      <c r="C45" s="107" t="s">
        <v>156</v>
      </c>
      <c r="D45" s="105"/>
      <c r="E45" s="104" t="s">
        <v>141</v>
      </c>
      <c r="F45" s="130"/>
      <c r="G45" s="35">
        <f>ROUND(M29*((2*M33)+M36+(2*M39))/6,0)</f>
        <v>0</v>
      </c>
      <c r="H45" s="35">
        <f>ROUND(N29*((2*N33)+N36+(2*N39))/6,0)</f>
        <v>0</v>
      </c>
      <c r="I45" s="35">
        <f>ROUND(O29*((2*O33)+O36+(2*O39))/6,0)</f>
        <v>0</v>
      </c>
      <c r="K45" s="196"/>
      <c r="L45" s="197"/>
    </row>
    <row r="46" spans="1:19" ht="17.399999999999999" x14ac:dyDescent="0.35">
      <c r="B46" s="106"/>
      <c r="C46" s="107" t="s">
        <v>159</v>
      </c>
      <c r="D46" s="105"/>
      <c r="E46" s="104" t="s">
        <v>162</v>
      </c>
      <c r="F46" s="130"/>
      <c r="G46" s="186">
        <f>(G44+G45)/1000000</f>
        <v>0.136575</v>
      </c>
      <c r="H46" s="186">
        <f>(H44+H45)/1000000</f>
        <v>0.20826600000000001</v>
      </c>
      <c r="I46" s="186">
        <f>(I44+I45)/1000000</f>
        <v>0.19337499999999999</v>
      </c>
      <c r="K46" s="181"/>
      <c r="L46" s="182"/>
    </row>
    <row r="47" spans="1:19" ht="17.399999999999999" x14ac:dyDescent="0.35">
      <c r="B47" s="106"/>
      <c r="C47" s="107" t="s">
        <v>129</v>
      </c>
      <c r="D47" s="105"/>
      <c r="E47" s="104" t="s">
        <v>48</v>
      </c>
      <c r="F47" s="130"/>
      <c r="G47" s="35">
        <f>G41+G42+G44+G45</f>
        <v>513919</v>
      </c>
      <c r="H47" s="35">
        <f>H41+H42+H44+H45</f>
        <v>514441</v>
      </c>
      <c r="I47" s="35">
        <f>I41+I42+I44+I45</f>
        <v>507775</v>
      </c>
      <c r="K47" s="196"/>
      <c r="L47" s="197"/>
    </row>
    <row r="48" spans="1:19" ht="17.399999999999999" x14ac:dyDescent="0.3">
      <c r="B48" s="106"/>
      <c r="C48" s="36" t="s">
        <v>166</v>
      </c>
      <c r="D48" s="107"/>
      <c r="E48" s="37" t="s">
        <v>167</v>
      </c>
      <c r="F48" s="130"/>
      <c r="G48" s="38">
        <f>IF(((ROUND((G47/100)/10000,4)))&gt;0.5161,"Error",(ROUND((G47/100)/10000,4)))</f>
        <v>0.51390000000000002</v>
      </c>
      <c r="H48" s="38">
        <f>IF(((ROUND((H47/100)/10000,4)))&gt;0.5161,"Error",(ROUND((H47/100)/10000,4)))</f>
        <v>0.51439999999999997</v>
      </c>
      <c r="I48" s="38">
        <f>IF(((ROUND((I47/100)/10000,4)))&gt;0.5161,"Error",(ROUND((I47/100)/10000,4)))</f>
        <v>0.50780000000000003</v>
      </c>
      <c r="K48" s="196"/>
      <c r="L48" s="197"/>
      <c r="M48" s="112"/>
      <c r="N48" s="112"/>
      <c r="O48" s="39"/>
    </row>
    <row r="49" spans="1:18" ht="14.4" x14ac:dyDescent="0.25">
      <c r="B49" s="11" t="s">
        <v>49</v>
      </c>
      <c r="E49" s="100"/>
      <c r="F49" s="100"/>
      <c r="I49" s="40" t="s">
        <v>50</v>
      </c>
      <c r="K49" s="180"/>
      <c r="L49" s="180"/>
      <c r="M49" s="112"/>
      <c r="N49" s="112"/>
      <c r="O49" s="112"/>
    </row>
    <row r="50" spans="1:18" ht="14.4" x14ac:dyDescent="0.3">
      <c r="B50" s="99" t="s">
        <v>51</v>
      </c>
      <c r="E50" s="100"/>
      <c r="F50" s="100"/>
      <c r="I50" s="17"/>
      <c r="K50" s="196"/>
      <c r="L50" s="197"/>
      <c r="M50" s="112"/>
      <c r="N50" s="112"/>
      <c r="O50" s="112"/>
    </row>
    <row r="51" spans="1:18" x14ac:dyDescent="0.25">
      <c r="A51" s="41"/>
      <c r="B51" s="41" t="s">
        <v>52</v>
      </c>
      <c r="C51" s="41"/>
      <c r="E51" s="41" t="s">
        <v>53</v>
      </c>
      <c r="F51" s="42"/>
      <c r="G51" s="43"/>
      <c r="H51" s="43"/>
      <c r="I51" s="43"/>
      <c r="J51" s="41"/>
      <c r="K51" s="183"/>
      <c r="L51" s="183"/>
      <c r="M51" s="44"/>
      <c r="P51" s="41"/>
      <c r="Q51" s="41"/>
      <c r="R51" s="41"/>
    </row>
    <row r="52" spans="1:18" x14ac:dyDescent="0.25">
      <c r="A52" s="41"/>
      <c r="B52" s="41" t="s">
        <v>54</v>
      </c>
      <c r="C52" s="41"/>
      <c r="E52" s="41" t="s">
        <v>147</v>
      </c>
      <c r="F52" s="42"/>
      <c r="G52" s="43"/>
      <c r="H52" s="43"/>
      <c r="I52" s="43"/>
      <c r="J52" s="41"/>
      <c r="K52" s="183"/>
      <c r="L52" s="183"/>
      <c r="M52" s="44"/>
      <c r="N52" s="44"/>
      <c r="O52" s="44"/>
      <c r="P52" s="41"/>
      <c r="Q52" s="41"/>
      <c r="R52" s="41"/>
    </row>
    <row r="53" spans="1:18" ht="27.75" customHeight="1" x14ac:dyDescent="0.25">
      <c r="B53" s="198"/>
      <c r="C53" s="198"/>
      <c r="D53" s="198"/>
      <c r="E53" s="201" t="str">
        <f>IF((Q13&lt;0),"LUFF ERROR","")</f>
        <v/>
      </c>
      <c r="F53" s="202"/>
      <c r="G53" s="202"/>
      <c r="H53" s="202"/>
      <c r="I53" s="202"/>
      <c r="J53" s="10"/>
      <c r="K53" s="10"/>
      <c r="L53" s="10"/>
      <c r="M53" s="112"/>
      <c r="N53" s="112"/>
      <c r="O53" s="112"/>
    </row>
    <row r="54" spans="1:18" x14ac:dyDescent="0.25">
      <c r="A54" s="41"/>
      <c r="B54" s="44" t="s">
        <v>55</v>
      </c>
      <c r="C54" s="44"/>
      <c r="D54" s="41"/>
      <c r="E54" s="44" t="s">
        <v>0</v>
      </c>
      <c r="F54" s="45"/>
      <c r="H54" s="41"/>
      <c r="I54" s="43"/>
      <c r="J54" s="41"/>
      <c r="K54" s="183"/>
      <c r="L54" s="183"/>
      <c r="M54" s="44"/>
      <c r="N54" s="44"/>
      <c r="O54" s="44"/>
      <c r="P54" s="41"/>
      <c r="Q54" s="41"/>
      <c r="R54" s="41"/>
    </row>
    <row r="55" spans="1:18" ht="23.25" customHeight="1" x14ac:dyDescent="0.3">
      <c r="B55" s="198"/>
      <c r="C55" s="198"/>
      <c r="D55" s="198"/>
      <c r="E55" s="203" t="str">
        <f>C5</f>
        <v>1st April 2018</v>
      </c>
      <c r="F55" s="204"/>
      <c r="G55" s="204"/>
      <c r="H55" s="204"/>
      <c r="I55" s="204"/>
      <c r="J55" s="10"/>
      <c r="K55" s="10"/>
      <c r="L55" s="184"/>
    </row>
    <row r="56" spans="1:18" ht="6.75" customHeight="1" x14ac:dyDescent="0.25">
      <c r="B56" s="112"/>
      <c r="C56" s="112"/>
      <c r="D56" s="112"/>
      <c r="E56" s="131"/>
      <c r="F56" s="131"/>
      <c r="G56" s="112"/>
      <c r="H56" s="112"/>
      <c r="I56" s="112"/>
    </row>
    <row r="57" spans="1:18" ht="14.4" x14ac:dyDescent="0.3">
      <c r="B57" s="170" t="str">
        <f>'status of this document'!B5</f>
        <v>Effective 1st April 2018</v>
      </c>
      <c r="C57" s="101"/>
      <c r="E57" s="16" t="str">
        <f>'status of this document'!B2</f>
        <v>Release version 1</v>
      </c>
      <c r="F57" s="100"/>
      <c r="I57" s="169" t="str">
        <f>'status of this document'!B7</f>
        <v>© 2018, IRSA</v>
      </c>
    </row>
    <row r="59" spans="1:18" x14ac:dyDescent="0.25">
      <c r="D59" s="101"/>
    </row>
  </sheetData>
  <sheetProtection algorithmName="SHA-512" hashValue="w3Qxs5/9EVe/ff6WNSq3i+ZNyBhDYuDyU5UknjpcIWP9ElVIzb/wrGKf5PrH4EOsriv1lDLDh0ux7ycxYzi7+Q==" saltValue="gzazhJLjpiWNobUV2KytgQ==" spinCount="100000" sheet="1" objects="1" scenarios="1" selectLockedCells="1"/>
  <mergeCells count="53">
    <mergeCell ref="E53:I53"/>
    <mergeCell ref="B55:D55"/>
    <mergeCell ref="E55:I55"/>
    <mergeCell ref="B3:I3"/>
    <mergeCell ref="G5:I5"/>
    <mergeCell ref="C13:E13"/>
    <mergeCell ref="B8:I8"/>
    <mergeCell ref="B7:I7"/>
    <mergeCell ref="B9:I9"/>
    <mergeCell ref="B10:I10"/>
    <mergeCell ref="B53:D53"/>
    <mergeCell ref="K10:L10"/>
    <mergeCell ref="K3:M3"/>
    <mergeCell ref="K12:L12"/>
    <mergeCell ref="K13:L13"/>
    <mergeCell ref="K4:L4"/>
    <mergeCell ref="K7:L7"/>
    <mergeCell ref="K8:L8"/>
    <mergeCell ref="K9:L9"/>
    <mergeCell ref="K18:L18"/>
    <mergeCell ref="K19:L19"/>
    <mergeCell ref="K20:L20"/>
    <mergeCell ref="K21:L21"/>
    <mergeCell ref="K14:L14"/>
    <mergeCell ref="K15:L15"/>
    <mergeCell ref="K16:L16"/>
    <mergeCell ref="K17:L17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50:L50"/>
    <mergeCell ref="K41:L41"/>
    <mergeCell ref="K42:L42"/>
    <mergeCell ref="K44:L44"/>
    <mergeCell ref="K45:L45"/>
    <mergeCell ref="K47:L47"/>
    <mergeCell ref="K48:L48"/>
  </mergeCells>
  <phoneticPr fontId="33" type="noConversion"/>
  <printOptions gridLines="1"/>
  <pageMargins left="0.70866141732283472" right="0.70866141732283472" top="0.74803149606299213" bottom="0.74803149606299213" header="0.31496062992125984" footer="0.31496062992125984"/>
  <pageSetup paperSize="9" scale="6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zoomScale="80" zoomScaleNormal="80" workbookViewId="0">
      <selection activeCell="E16" sqref="E16:G16"/>
    </sheetView>
  </sheetViews>
  <sheetFormatPr baseColWidth="10" defaultColWidth="9.109375" defaultRowHeight="13.8" x14ac:dyDescent="0.25"/>
  <cols>
    <col min="1" max="1" width="9.109375" style="99"/>
    <col min="2" max="2" width="21.88671875" style="99" customWidth="1"/>
    <col min="3" max="3" width="5" style="99" customWidth="1"/>
    <col min="4" max="4" width="21.44140625" style="99" customWidth="1"/>
    <col min="5" max="5" width="11.44140625" style="99" customWidth="1"/>
    <col min="6" max="6" width="22.6640625" style="99" customWidth="1"/>
    <col min="7" max="7" width="12" style="99" customWidth="1"/>
    <col min="8" max="8" width="11.44140625" style="99" customWidth="1"/>
    <col min="9" max="9" width="12.44140625" style="99" customWidth="1"/>
    <col min="10" max="10" width="4.5546875" style="99" customWidth="1"/>
    <col min="11" max="11" width="35.5546875" style="99" customWidth="1"/>
    <col min="12" max="12" width="57.88671875" style="99" customWidth="1"/>
    <col min="13" max="13" width="27.5546875" style="99" customWidth="1"/>
    <col min="14" max="14" width="28.6640625" style="99" customWidth="1"/>
    <col min="15" max="16384" width="9.109375" style="99"/>
  </cols>
  <sheetData>
    <row r="1" spans="2:12" x14ac:dyDescent="0.25">
      <c r="C1" s="132"/>
      <c r="G1" s="132"/>
      <c r="H1" s="132"/>
      <c r="I1" s="132"/>
    </row>
    <row r="2" spans="2:12" x14ac:dyDescent="0.25">
      <c r="C2" s="132"/>
      <c r="G2" s="132"/>
      <c r="H2" s="132"/>
      <c r="I2" s="132"/>
    </row>
    <row r="3" spans="2:12" ht="32.4" x14ac:dyDescent="0.55000000000000004">
      <c r="B3" s="146" t="s">
        <v>131</v>
      </c>
      <c r="H3" s="260"/>
      <c r="I3" s="260"/>
      <c r="J3" s="147"/>
      <c r="K3" s="147" t="str">
        <f>B3</f>
        <v>IRSA - WORLD RADIO SAILING</v>
      </c>
      <c r="L3" s="147"/>
    </row>
    <row r="4" spans="2:12" ht="22.8" x14ac:dyDescent="0.4">
      <c r="B4" s="46" t="s">
        <v>179</v>
      </c>
      <c r="C4" s="46"/>
      <c r="D4" s="46"/>
      <c r="E4" s="46"/>
      <c r="F4" s="46"/>
      <c r="G4" s="46"/>
      <c r="H4" s="260"/>
      <c r="I4" s="260"/>
      <c r="J4" s="46"/>
      <c r="K4" s="46" t="str">
        <f>B4</f>
        <v>IRSA MARBLEHEAD CLASS CERTIFICATE</v>
      </c>
      <c r="L4" s="46"/>
    </row>
    <row r="5" spans="2:12" ht="15" customHeight="1" x14ac:dyDescent="0.4">
      <c r="B5" s="161">
        <f>'rig sail measurement form'!U18</f>
        <v>50</v>
      </c>
      <c r="C5" s="223" t="s">
        <v>143</v>
      </c>
      <c r="D5" s="224"/>
      <c r="E5" s="86"/>
      <c r="F5" s="86"/>
      <c r="G5" s="86"/>
      <c r="H5" s="260"/>
      <c r="I5" s="260"/>
      <c r="J5" s="46"/>
      <c r="K5" s="46"/>
      <c r="L5" s="180" t="s">
        <v>153</v>
      </c>
    </row>
    <row r="6" spans="2:12" s="112" customFormat="1" ht="6" customHeight="1" x14ac:dyDescent="0.4">
      <c r="B6" s="171"/>
      <c r="C6" s="171"/>
      <c r="D6" s="171"/>
      <c r="E6" s="172"/>
      <c r="F6" s="172"/>
      <c r="G6" s="172"/>
      <c r="H6" s="167"/>
      <c r="I6" s="167"/>
      <c r="J6" s="173"/>
      <c r="K6" s="173"/>
      <c r="L6" s="173"/>
    </row>
    <row r="7" spans="2:12" ht="17.25" customHeight="1" x14ac:dyDescent="0.4">
      <c r="B7" s="261" t="s">
        <v>117</v>
      </c>
      <c r="C7" s="262"/>
      <c r="D7" s="262"/>
      <c r="E7" s="262"/>
      <c r="F7" s="262"/>
      <c r="G7" s="262"/>
      <c r="H7" s="263"/>
      <c r="I7" s="264"/>
      <c r="J7" s="47"/>
      <c r="K7" s="221"/>
      <c r="L7" s="197"/>
    </row>
    <row r="8" spans="2:12" ht="17.25" customHeight="1" x14ac:dyDescent="0.4">
      <c r="B8" s="265" t="s">
        <v>56</v>
      </c>
      <c r="C8" s="266"/>
      <c r="D8" s="266"/>
      <c r="E8" s="266"/>
      <c r="F8" s="266"/>
      <c r="G8" s="266"/>
      <c r="H8" s="267"/>
      <c r="I8" s="228"/>
      <c r="J8" s="47"/>
      <c r="K8" s="221"/>
      <c r="L8" s="197"/>
    </row>
    <row r="9" spans="2:12" ht="30.75" customHeight="1" x14ac:dyDescent="0.4">
      <c r="B9" s="246" t="s">
        <v>151</v>
      </c>
      <c r="C9" s="247"/>
      <c r="D9" s="247"/>
      <c r="E9" s="247"/>
      <c r="F9" s="247"/>
      <c r="G9" s="247"/>
      <c r="H9" s="247"/>
      <c r="I9" s="248"/>
      <c r="J9" s="47"/>
      <c r="K9" s="221"/>
      <c r="L9" s="197"/>
    </row>
    <row r="10" spans="2:12" ht="24.75" customHeight="1" x14ac:dyDescent="0.3">
      <c r="B10" s="232" t="s">
        <v>2</v>
      </c>
      <c r="C10" s="233"/>
      <c r="D10" s="233"/>
      <c r="E10" s="243">
        <v>5001</v>
      </c>
      <c r="F10" s="243" t="s">
        <v>91</v>
      </c>
      <c r="G10" s="243"/>
      <c r="H10" s="249" t="s">
        <v>62</v>
      </c>
      <c r="I10" s="250"/>
      <c r="J10" s="10"/>
      <c r="K10" s="184"/>
      <c r="L10" s="184"/>
    </row>
    <row r="11" spans="2:12" ht="23.25" customHeight="1" x14ac:dyDescent="0.4">
      <c r="B11" s="234" t="s">
        <v>58</v>
      </c>
      <c r="C11" s="235"/>
      <c r="D11" s="235"/>
      <c r="E11" s="243" t="s">
        <v>86</v>
      </c>
      <c r="F11" s="243"/>
      <c r="G11" s="243" t="s">
        <v>86</v>
      </c>
      <c r="H11" s="227"/>
      <c r="I11" s="228"/>
      <c r="J11" s="10"/>
      <c r="K11" s="221"/>
      <c r="L11" s="197"/>
    </row>
    <row r="12" spans="2:12" ht="23.25" customHeight="1" x14ac:dyDescent="0.4">
      <c r="B12" s="234" t="s">
        <v>60</v>
      </c>
      <c r="C12" s="235"/>
      <c r="D12" s="235"/>
      <c r="E12" s="243" t="s">
        <v>88</v>
      </c>
      <c r="F12" s="243"/>
      <c r="G12" s="243" t="s">
        <v>88</v>
      </c>
      <c r="H12" s="229"/>
      <c r="I12" s="228"/>
      <c r="J12" s="10"/>
      <c r="K12" s="221"/>
      <c r="L12" s="197"/>
    </row>
    <row r="13" spans="2:12" ht="23.25" customHeight="1" x14ac:dyDescent="0.4">
      <c r="B13" s="234" t="s">
        <v>61</v>
      </c>
      <c r="C13" s="235"/>
      <c r="D13" s="235"/>
      <c r="E13" s="243" t="s">
        <v>119</v>
      </c>
      <c r="F13" s="243"/>
      <c r="G13" s="243"/>
      <c r="H13" s="230"/>
      <c r="I13" s="231"/>
      <c r="J13" s="10"/>
      <c r="K13" s="221"/>
      <c r="L13" s="197"/>
    </row>
    <row r="14" spans="2:12" ht="23.25" customHeight="1" x14ac:dyDescent="0.3">
      <c r="B14" s="234" t="s">
        <v>59</v>
      </c>
      <c r="C14" s="235"/>
      <c r="D14" s="235" t="s">
        <v>87</v>
      </c>
      <c r="E14" s="243" t="s">
        <v>120</v>
      </c>
      <c r="F14" s="243"/>
      <c r="G14" s="243" t="s">
        <v>89</v>
      </c>
      <c r="H14" s="244" t="s">
        <v>187</v>
      </c>
      <c r="I14" s="245"/>
      <c r="J14" s="10"/>
      <c r="K14" s="184"/>
      <c r="L14" s="184"/>
    </row>
    <row r="15" spans="2:12" ht="23.25" customHeight="1" x14ac:dyDescent="0.4">
      <c r="B15" s="234" t="s">
        <v>172</v>
      </c>
      <c r="C15" s="235"/>
      <c r="D15" s="235"/>
      <c r="E15" s="236" t="s">
        <v>174</v>
      </c>
      <c r="F15" s="237"/>
      <c r="G15" s="237"/>
      <c r="H15" s="229"/>
      <c r="I15" s="228"/>
      <c r="J15" s="10"/>
      <c r="K15" s="221"/>
      <c r="L15" s="197"/>
    </row>
    <row r="16" spans="2:12" ht="23.25" customHeight="1" x14ac:dyDescent="0.4">
      <c r="B16" s="234" t="s">
        <v>173</v>
      </c>
      <c r="C16" s="235"/>
      <c r="D16" s="235"/>
      <c r="E16" s="236" t="s">
        <v>185</v>
      </c>
      <c r="F16" s="237"/>
      <c r="G16" s="237"/>
      <c r="H16" s="229"/>
      <c r="I16" s="228"/>
      <c r="J16" s="10"/>
      <c r="K16" s="221"/>
      <c r="L16" s="197"/>
    </row>
    <row r="17" spans="2:16" ht="23.25" customHeight="1" x14ac:dyDescent="0.4">
      <c r="B17" s="234" t="s">
        <v>63</v>
      </c>
      <c r="C17" s="235"/>
      <c r="D17" s="235"/>
      <c r="E17" s="237" t="s">
        <v>186</v>
      </c>
      <c r="F17" s="237"/>
      <c r="G17" s="237"/>
      <c r="H17" s="229"/>
      <c r="I17" s="228"/>
      <c r="J17" s="10"/>
      <c r="K17" s="221"/>
      <c r="L17" s="197"/>
    </row>
    <row r="18" spans="2:16" ht="23.25" customHeight="1" x14ac:dyDescent="0.4">
      <c r="B18" s="234" t="s">
        <v>152</v>
      </c>
      <c r="C18" s="235"/>
      <c r="D18" s="235"/>
      <c r="E18" s="236" t="s">
        <v>90</v>
      </c>
      <c r="F18" s="237"/>
      <c r="G18" s="237"/>
      <c r="H18" s="229"/>
      <c r="I18" s="228"/>
      <c r="J18" s="10"/>
      <c r="K18" s="221"/>
      <c r="L18" s="197"/>
    </row>
    <row r="19" spans="2:16" ht="6" customHeight="1" x14ac:dyDescent="0.25">
      <c r="B19" s="49"/>
      <c r="C19" s="50"/>
      <c r="D19" s="49"/>
      <c r="E19" s="49"/>
      <c r="F19" s="49"/>
      <c r="G19" s="50"/>
      <c r="H19" s="50"/>
      <c r="I19" s="50"/>
      <c r="J19" s="49"/>
      <c r="K19" s="49"/>
      <c r="L19" s="49"/>
    </row>
    <row r="20" spans="2:16" ht="22.8" x14ac:dyDescent="0.4">
      <c r="B20" s="51"/>
      <c r="C20" s="133"/>
      <c r="D20" s="52" t="s">
        <v>64</v>
      </c>
      <c r="E20" s="53"/>
      <c r="F20" s="53"/>
      <c r="G20" s="54" t="s">
        <v>5</v>
      </c>
      <c r="H20" s="55" t="s">
        <v>6</v>
      </c>
      <c r="I20" s="55" t="s">
        <v>7</v>
      </c>
      <c r="K20" s="221"/>
      <c r="L20" s="197"/>
      <c r="M20" s="48" t="s">
        <v>57</v>
      </c>
      <c r="N20" s="180"/>
    </row>
    <row r="21" spans="2:16" ht="15.6" x14ac:dyDescent="0.3">
      <c r="B21" s="56" t="s">
        <v>65</v>
      </c>
      <c r="C21" s="57" t="s">
        <v>5</v>
      </c>
      <c r="D21" s="58" t="s">
        <v>66</v>
      </c>
      <c r="E21" s="58"/>
      <c r="F21" s="59"/>
      <c r="G21" s="60">
        <f>'rig sail measurement form'!M13</f>
        <v>2112</v>
      </c>
      <c r="H21" s="60">
        <f>'rig sail measurement form'!N13</f>
        <v>1850</v>
      </c>
      <c r="I21" s="60">
        <f>'rig sail measurement form'!O13</f>
        <v>1600</v>
      </c>
      <c r="K21" s="180"/>
      <c r="L21" s="180"/>
      <c r="M21" s="255" t="s">
        <v>154</v>
      </c>
      <c r="N21" s="258" t="s">
        <v>1</v>
      </c>
    </row>
    <row r="22" spans="2:16" ht="15.6" x14ac:dyDescent="0.3">
      <c r="B22" s="61"/>
      <c r="C22" s="62" t="s">
        <v>9</v>
      </c>
      <c r="D22" s="63" t="s">
        <v>67</v>
      </c>
      <c r="E22" s="63"/>
      <c r="F22" s="64"/>
      <c r="G22" s="60">
        <f>'rig sail measurement form'!M14</f>
        <v>46</v>
      </c>
      <c r="H22" s="60">
        <f>'rig sail measurement form'!N14</f>
        <v>35</v>
      </c>
      <c r="I22" s="60">
        <f>'rig sail measurement form'!O14</f>
        <v>35</v>
      </c>
      <c r="K22" s="180"/>
      <c r="L22" s="180"/>
      <c r="M22" s="256"/>
      <c r="N22" s="259"/>
    </row>
    <row r="23" spans="2:16" ht="15.6" x14ac:dyDescent="0.3">
      <c r="B23" s="111"/>
      <c r="C23" s="62" t="s">
        <v>93</v>
      </c>
      <c r="D23" s="63" t="s">
        <v>68</v>
      </c>
      <c r="E23" s="63"/>
      <c r="F23" s="64"/>
      <c r="G23" s="165">
        <f>IF('rig sail measurement form'!M15&gt;2160,2160,'rig sail measurement form'!M15)</f>
        <v>2158</v>
      </c>
      <c r="H23" s="65">
        <f>IF('rig sail measurement form'!N15&gt;2160,2160,'rig sail measurement form'!N15)</f>
        <v>1885</v>
      </c>
      <c r="I23" s="65">
        <f>IF('rig sail measurement form'!O15&gt;2160,2160,'rig sail measurement form'!O15)</f>
        <v>1635</v>
      </c>
      <c r="K23" s="180"/>
      <c r="L23" s="180"/>
      <c r="M23" s="256"/>
      <c r="N23" s="259"/>
    </row>
    <row r="24" spans="2:16" ht="15.6" x14ac:dyDescent="0.3">
      <c r="B24" s="134"/>
      <c r="C24" s="66" t="s">
        <v>13</v>
      </c>
      <c r="D24" s="67" t="s">
        <v>69</v>
      </c>
      <c r="E24" s="67"/>
      <c r="F24" s="68"/>
      <c r="G24" s="69">
        <f>'rig sail measurement form'!G16</f>
        <v>1726</v>
      </c>
      <c r="H24" s="69">
        <f>'rig sail measurement form'!H16</f>
        <v>1508</v>
      </c>
      <c r="I24" s="69">
        <f>'rig sail measurement form'!I16</f>
        <v>1308</v>
      </c>
      <c r="K24" s="180"/>
      <c r="L24" s="180"/>
      <c r="M24" s="257"/>
      <c r="N24" s="259"/>
    </row>
    <row r="25" spans="2:16" ht="15.6" x14ac:dyDescent="0.3">
      <c r="B25" s="56" t="s">
        <v>70</v>
      </c>
      <c r="C25" s="57" t="s">
        <v>6</v>
      </c>
      <c r="D25" s="70" t="s">
        <v>71</v>
      </c>
      <c r="E25" s="71"/>
      <c r="F25" s="72"/>
      <c r="G25" s="60">
        <f>'rig sail measurement form'!M18</f>
        <v>350</v>
      </c>
      <c r="H25" s="60">
        <f>'rig sail measurement form'!N18</f>
        <v>331</v>
      </c>
      <c r="I25" s="60">
        <f>'rig sail measurement form'!O18</f>
        <v>390</v>
      </c>
      <c r="K25" s="180"/>
      <c r="L25" s="180"/>
      <c r="M25" s="257"/>
      <c r="N25" s="259"/>
      <c r="O25" s="101"/>
      <c r="P25" s="101"/>
    </row>
    <row r="26" spans="2:16" ht="15.6" x14ac:dyDescent="0.3">
      <c r="B26" s="111"/>
      <c r="C26" s="73"/>
      <c r="D26" s="13" t="s">
        <v>72</v>
      </c>
      <c r="E26" s="63"/>
      <c r="F26" s="64"/>
      <c r="G26" s="60">
        <f>'rig sail measurement form'!Q19</f>
        <v>326</v>
      </c>
      <c r="H26" s="60">
        <f>'rig sail measurement form'!R19</f>
        <v>311</v>
      </c>
      <c r="I26" s="60">
        <f>'rig sail measurement form'!S19</f>
        <v>360</v>
      </c>
      <c r="K26" s="180"/>
      <c r="L26" s="180"/>
      <c r="M26" s="257"/>
      <c r="N26" s="259"/>
    </row>
    <row r="27" spans="2:16" ht="15.6" x14ac:dyDescent="0.3">
      <c r="B27" s="111"/>
      <c r="C27" s="73"/>
      <c r="D27" s="13" t="s">
        <v>73</v>
      </c>
      <c r="E27" s="63"/>
      <c r="F27" s="64"/>
      <c r="G27" s="60">
        <f>'rig sail measurement form'!Q22</f>
        <v>253</v>
      </c>
      <c r="H27" s="60">
        <f>'rig sail measurement form'!R22</f>
        <v>238</v>
      </c>
      <c r="I27" s="60">
        <f>'rig sail measurement form'!S22</f>
        <v>268</v>
      </c>
      <c r="K27" s="180"/>
      <c r="L27" s="180"/>
      <c r="M27" s="257"/>
      <c r="N27" s="259"/>
    </row>
    <row r="28" spans="2:16" ht="15.6" x14ac:dyDescent="0.3">
      <c r="B28" s="134"/>
      <c r="C28" s="74"/>
      <c r="D28" s="75" t="s">
        <v>74</v>
      </c>
      <c r="E28" s="67"/>
      <c r="F28" s="68"/>
      <c r="G28" s="60">
        <f>'rig sail measurement form'!Q25</f>
        <v>168</v>
      </c>
      <c r="H28" s="60">
        <f>'rig sail measurement form'!R25</f>
        <v>155</v>
      </c>
      <c r="I28" s="60">
        <f>'rig sail measurement form'!S25</f>
        <v>170</v>
      </c>
      <c r="K28" s="180"/>
      <c r="L28" s="180"/>
      <c r="M28" s="257"/>
      <c r="N28" s="259"/>
    </row>
    <row r="29" spans="2:16" ht="15.6" x14ac:dyDescent="0.3">
      <c r="B29" s="56" t="s">
        <v>121</v>
      </c>
      <c r="C29" s="57" t="s">
        <v>33</v>
      </c>
      <c r="D29" s="76" t="s">
        <v>75</v>
      </c>
      <c r="E29" s="58"/>
      <c r="F29" s="59"/>
      <c r="G29" s="60">
        <f>'rig sail measurement form'!M29</f>
        <v>1214</v>
      </c>
      <c r="H29" s="60">
        <f>'rig sail measurement form'!N29</f>
        <v>1236</v>
      </c>
      <c r="I29" s="60">
        <f>'rig sail measurement form'!O29</f>
        <v>1105</v>
      </c>
      <c r="K29" s="180"/>
      <c r="L29" s="180"/>
      <c r="M29" s="257"/>
      <c r="N29" s="259"/>
    </row>
    <row r="30" spans="2:16" ht="15.6" x14ac:dyDescent="0.3">
      <c r="B30" s="111"/>
      <c r="C30" s="62" t="s">
        <v>35</v>
      </c>
      <c r="D30" s="63" t="s">
        <v>76</v>
      </c>
      <c r="E30" s="63"/>
      <c r="F30" s="64"/>
      <c r="G30" s="60">
        <f>'rig sail measurement form'!M30</f>
        <v>225</v>
      </c>
      <c r="H30" s="60">
        <f>'rig sail measurement form'!N30</f>
        <v>337</v>
      </c>
      <c r="I30" s="60">
        <f>'rig sail measurement form'!O30</f>
        <v>350</v>
      </c>
      <c r="K30" s="180"/>
      <c r="L30" s="180"/>
      <c r="M30" s="257"/>
      <c r="N30" s="259"/>
    </row>
    <row r="31" spans="2:16" ht="15.6" x14ac:dyDescent="0.3">
      <c r="B31" s="111"/>
      <c r="C31" s="73"/>
      <c r="D31" s="13" t="s">
        <v>72</v>
      </c>
      <c r="E31" s="63"/>
      <c r="F31" s="64"/>
      <c r="G31" s="60">
        <f>'rig sail measurement form'!Q31</f>
        <v>224</v>
      </c>
      <c r="H31" s="60">
        <f>'rig sail measurement form'!R31</f>
        <v>308</v>
      </c>
      <c r="I31" s="60">
        <f>'rig sail measurement form'!S31</f>
        <v>318</v>
      </c>
      <c r="K31" s="180"/>
      <c r="L31" s="180"/>
      <c r="M31" s="257"/>
      <c r="N31" s="259"/>
    </row>
    <row r="32" spans="2:16" ht="15.6" x14ac:dyDescent="0.3">
      <c r="B32" s="111"/>
      <c r="C32" s="73"/>
      <c r="D32" s="13" t="s">
        <v>73</v>
      </c>
      <c r="E32" s="63"/>
      <c r="F32" s="64"/>
      <c r="G32" s="60">
        <f>'rig sail measurement form'!Q34</f>
        <v>173</v>
      </c>
      <c r="H32" s="60">
        <f>'rig sail measurement form'!R34</f>
        <v>229</v>
      </c>
      <c r="I32" s="60">
        <f>'rig sail measurement form'!S34</f>
        <v>235</v>
      </c>
      <c r="K32" s="180"/>
      <c r="L32" s="180"/>
      <c r="M32" s="257"/>
      <c r="N32" s="259"/>
    </row>
    <row r="33" spans="1:16" ht="15.6" x14ac:dyDescent="0.3">
      <c r="B33" s="134"/>
      <c r="C33" s="73"/>
      <c r="D33" s="13" t="s">
        <v>74</v>
      </c>
      <c r="E33" s="63"/>
      <c r="F33" s="64"/>
      <c r="G33" s="60">
        <f>'rig sail measurement form'!Q37</f>
        <v>116</v>
      </c>
      <c r="H33" s="60">
        <f>'rig sail measurement form'!R37</f>
        <v>144</v>
      </c>
      <c r="I33" s="60">
        <f>'rig sail measurement form'!S37</f>
        <v>148</v>
      </c>
      <c r="K33" s="180"/>
      <c r="L33" s="180"/>
      <c r="M33" s="257"/>
      <c r="N33" s="259"/>
    </row>
    <row r="34" spans="1:16" ht="15.6" x14ac:dyDescent="0.3">
      <c r="B34" s="77" t="s">
        <v>157</v>
      </c>
      <c r="C34" s="78"/>
      <c r="D34" s="36" t="s">
        <v>163</v>
      </c>
      <c r="E34" s="79"/>
      <c r="F34" s="80"/>
      <c r="G34" s="91">
        <f>'rig sail measurement form'!G43</f>
        <v>0.37734400000000001</v>
      </c>
      <c r="H34" s="91">
        <f>'rig sail measurement form'!H43</f>
        <v>0.30617499999999997</v>
      </c>
      <c r="I34" s="91">
        <f>'rig sail measurement form'!I43</f>
        <v>0.31440000000000001</v>
      </c>
      <c r="K34" s="180"/>
      <c r="L34" s="180"/>
      <c r="M34" s="257"/>
      <c r="N34" s="259"/>
    </row>
    <row r="35" spans="1:16" ht="15.6" x14ac:dyDescent="0.3">
      <c r="B35" s="77" t="s">
        <v>158</v>
      </c>
      <c r="C35" s="78"/>
      <c r="D35" s="36" t="s">
        <v>164</v>
      </c>
      <c r="E35" s="79"/>
      <c r="F35" s="80"/>
      <c r="G35" s="91">
        <f>'rig sail measurement form'!G46</f>
        <v>0.136575</v>
      </c>
      <c r="H35" s="91">
        <f>'rig sail measurement form'!H46</f>
        <v>0.20826600000000001</v>
      </c>
      <c r="I35" s="91">
        <f>'rig sail measurement form'!I46</f>
        <v>0.19337499999999999</v>
      </c>
      <c r="K35" s="180"/>
      <c r="L35" s="180"/>
      <c r="M35" s="257"/>
      <c r="N35" s="259"/>
    </row>
    <row r="36" spans="1:16" ht="15.6" x14ac:dyDescent="0.3">
      <c r="B36" s="77" t="s">
        <v>165</v>
      </c>
      <c r="C36" s="78"/>
      <c r="D36" s="36" t="s">
        <v>77</v>
      </c>
      <c r="E36" s="79"/>
      <c r="F36" s="80"/>
      <c r="G36" s="91">
        <f>'rig sail measurement form'!G48</f>
        <v>0.51390000000000002</v>
      </c>
      <c r="H36" s="91">
        <f>'rig sail measurement form'!H48</f>
        <v>0.51439999999999997</v>
      </c>
      <c r="I36" s="91">
        <f>'rig sail measurement form'!I48</f>
        <v>0.50780000000000003</v>
      </c>
      <c r="K36" s="180"/>
      <c r="L36" s="180"/>
      <c r="M36" s="257"/>
      <c r="N36" s="259"/>
    </row>
    <row r="37" spans="1:16" ht="14.4" x14ac:dyDescent="0.3">
      <c r="B37" s="87" t="s">
        <v>145</v>
      </c>
      <c r="C37" s="88"/>
      <c r="D37" s="101"/>
      <c r="E37" s="89"/>
      <c r="F37" s="89"/>
      <c r="G37" s="135"/>
      <c r="H37" s="240" t="s">
        <v>50</v>
      </c>
      <c r="I37" s="241"/>
      <c r="K37" s="222"/>
      <c r="L37" s="197"/>
    </row>
    <row r="38" spans="1:16" ht="14.4" x14ac:dyDescent="0.3">
      <c r="B38" s="87" t="s">
        <v>144</v>
      </c>
      <c r="C38" s="88"/>
      <c r="D38" s="101"/>
      <c r="E38" s="89"/>
      <c r="F38" s="89"/>
      <c r="G38" s="135"/>
      <c r="H38" s="242"/>
      <c r="I38" s="242"/>
      <c r="K38" s="222"/>
      <c r="L38" s="197"/>
    </row>
    <row r="39" spans="1:16" ht="6" customHeight="1" x14ac:dyDescent="0.25">
      <c r="C39" s="132"/>
      <c r="G39" s="132"/>
      <c r="H39" s="132"/>
      <c r="I39" s="132"/>
    </row>
    <row r="40" spans="1:16" ht="6" customHeight="1" x14ac:dyDescent="0.25">
      <c r="B40" s="136"/>
      <c r="C40" s="137"/>
      <c r="D40" s="136"/>
      <c r="E40" s="136"/>
      <c r="F40" s="136"/>
      <c r="G40" s="137"/>
      <c r="H40" s="137"/>
      <c r="I40" s="137"/>
    </row>
    <row r="41" spans="1:16" ht="6" customHeight="1" x14ac:dyDescent="0.25">
      <c r="C41" s="132"/>
      <c r="G41" s="132"/>
      <c r="H41" s="132"/>
      <c r="I41" s="132"/>
    </row>
    <row r="42" spans="1:16" ht="14.4" x14ac:dyDescent="0.3">
      <c r="B42" s="99" t="s">
        <v>78</v>
      </c>
      <c r="C42" s="132"/>
      <c r="G42" s="132"/>
      <c r="H42" s="132"/>
      <c r="I42" s="132"/>
      <c r="K42" s="222"/>
      <c r="L42" s="197"/>
    </row>
    <row r="43" spans="1:16" ht="23.25" customHeight="1" x14ac:dyDescent="0.3">
      <c r="B43" s="8" t="s">
        <v>79</v>
      </c>
      <c r="C43" s="9"/>
      <c r="D43" s="8"/>
      <c r="E43" s="251"/>
      <c r="F43" s="251"/>
      <c r="G43" s="251"/>
      <c r="H43" s="251"/>
      <c r="I43" s="251"/>
      <c r="J43" s="10"/>
      <c r="K43" s="222"/>
      <c r="L43" s="197"/>
    </row>
    <row r="44" spans="1:16" ht="34.5" customHeight="1" x14ac:dyDescent="0.3">
      <c r="B44" s="254" t="s">
        <v>171</v>
      </c>
      <c r="C44" s="226"/>
      <c r="D44" s="226"/>
      <c r="E44" s="226"/>
      <c r="F44" s="226"/>
      <c r="G44" s="226"/>
      <c r="H44" s="226"/>
      <c r="I44" s="226"/>
      <c r="J44" s="10"/>
      <c r="K44" s="222"/>
      <c r="L44" s="197"/>
    </row>
    <row r="45" spans="1:16" ht="24" customHeight="1" x14ac:dyDescent="0.3">
      <c r="B45" s="8" t="s">
        <v>80</v>
      </c>
      <c r="C45" s="138"/>
      <c r="D45" s="139"/>
      <c r="E45" s="139"/>
      <c r="F45" s="139"/>
      <c r="G45" s="138"/>
      <c r="H45" s="138"/>
      <c r="I45" s="138"/>
      <c r="K45" s="222"/>
      <c r="L45" s="197"/>
    </row>
    <row r="46" spans="1:16" ht="24" customHeight="1" x14ac:dyDescent="0.3">
      <c r="B46" s="252" t="s">
        <v>81</v>
      </c>
      <c r="C46" s="235"/>
      <c r="D46" s="253"/>
      <c r="E46" s="253"/>
      <c r="F46" s="253"/>
      <c r="G46" s="253"/>
      <c r="H46" s="253"/>
      <c r="I46" s="253"/>
      <c r="J46" s="112"/>
      <c r="K46" s="222"/>
      <c r="L46" s="197"/>
    </row>
    <row r="47" spans="1:16" ht="14.4" x14ac:dyDescent="0.3">
      <c r="A47" s="10"/>
      <c r="B47" s="225" t="s">
        <v>82</v>
      </c>
      <c r="C47" s="226"/>
      <c r="D47" s="226"/>
      <c r="E47" s="226"/>
      <c r="F47" s="226"/>
      <c r="G47" s="226"/>
      <c r="H47" s="226"/>
      <c r="I47" s="226"/>
      <c r="J47" s="12"/>
      <c r="K47" s="222"/>
      <c r="L47" s="197"/>
      <c r="M47" s="10"/>
      <c r="N47" s="10"/>
      <c r="O47" s="10"/>
      <c r="P47" s="10"/>
    </row>
    <row r="48" spans="1:16" ht="14.4" x14ac:dyDescent="0.3">
      <c r="B48" s="238" t="s">
        <v>83</v>
      </c>
      <c r="C48" s="239"/>
      <c r="D48" s="239"/>
      <c r="E48" s="239"/>
      <c r="F48" s="239"/>
      <c r="G48" s="239"/>
      <c r="H48" s="239"/>
      <c r="I48" s="239"/>
      <c r="J48" s="12"/>
      <c r="K48" s="222"/>
      <c r="L48" s="197"/>
    </row>
    <row r="49" spans="2:12" ht="18" customHeight="1" x14ac:dyDescent="0.3">
      <c r="B49" s="238" t="s">
        <v>126</v>
      </c>
      <c r="C49" s="239"/>
      <c r="D49" s="239"/>
      <c r="E49" s="239"/>
      <c r="F49" s="239"/>
      <c r="G49" s="239"/>
      <c r="H49" s="239"/>
      <c r="I49" s="239"/>
      <c r="J49" s="12"/>
      <c r="K49" s="222"/>
      <c r="L49" s="197"/>
    </row>
    <row r="50" spans="2:12" ht="15" customHeight="1" x14ac:dyDescent="0.3">
      <c r="B50" s="13" t="s">
        <v>84</v>
      </c>
      <c r="C50" s="140"/>
      <c r="D50" s="112"/>
      <c r="E50" s="112"/>
      <c r="F50" s="112"/>
      <c r="G50" s="141" t="s">
        <v>0</v>
      </c>
      <c r="H50" s="251"/>
      <c r="I50" s="251"/>
      <c r="J50" s="112"/>
      <c r="K50" s="185"/>
      <c r="L50" s="185"/>
    </row>
    <row r="51" spans="2:12" ht="5.25" customHeight="1" x14ac:dyDescent="0.25">
      <c r="C51" s="132"/>
      <c r="G51" s="132"/>
      <c r="H51" s="132"/>
      <c r="I51" s="132"/>
    </row>
    <row r="52" spans="2:12" ht="5.25" customHeight="1" x14ac:dyDescent="0.25">
      <c r="B52" s="136"/>
      <c r="C52" s="137"/>
      <c r="D52" s="136"/>
      <c r="E52" s="136"/>
      <c r="F52" s="136"/>
      <c r="G52" s="137"/>
      <c r="H52" s="137"/>
      <c r="I52" s="137"/>
    </row>
    <row r="53" spans="2:12" ht="5.25" customHeight="1" x14ac:dyDescent="0.25">
      <c r="C53" s="132"/>
      <c r="G53" s="132"/>
      <c r="H53" s="132"/>
      <c r="I53" s="132"/>
    </row>
    <row r="54" spans="2:12" x14ac:dyDescent="0.25">
      <c r="B54" s="174" t="str">
        <f>'status of this document'!B5</f>
        <v>Effective 1st April 2018</v>
      </c>
      <c r="C54" s="144"/>
      <c r="D54" s="145"/>
      <c r="E54" s="145"/>
      <c r="F54" s="92" t="str">
        <f>'status of this document'!B2</f>
        <v>Release version 1</v>
      </c>
      <c r="I54" s="175" t="str">
        <f>'status of this document'!B7</f>
        <v>© 2018, IRSA</v>
      </c>
      <c r="J54" s="14"/>
      <c r="K54" s="14"/>
      <c r="L54" s="14"/>
    </row>
  </sheetData>
  <sheetProtection algorithmName="SHA-512" hashValue="15n0XU13PJMKrQ6vggDH4Yvotj2Dsf0Novi3otvyB2x9RGQHR4pv/wXyOvkMYnTOLDnXTx5vRaaOm5QY0MgLig==" saltValue="oewlRbDVtmszpQ8+fYmthA==" spinCount="100000" sheet="1" objects="1" scenarios="1" selectLockedCells="1"/>
  <mergeCells count="59">
    <mergeCell ref="E11:G11"/>
    <mergeCell ref="E12:G12"/>
    <mergeCell ref="E14:G14"/>
    <mergeCell ref="E43:I43"/>
    <mergeCell ref="B44:I44"/>
    <mergeCell ref="B48:I48"/>
    <mergeCell ref="M21:M36"/>
    <mergeCell ref="N21:N36"/>
    <mergeCell ref="H3:I5"/>
    <mergeCell ref="B7:I7"/>
    <mergeCell ref="B8:I8"/>
    <mergeCell ref="B16:D16"/>
    <mergeCell ref="E16:G16"/>
    <mergeCell ref="B9:I9"/>
    <mergeCell ref="H10:I10"/>
    <mergeCell ref="B14:D14"/>
    <mergeCell ref="E10:G10"/>
    <mergeCell ref="B13:D13"/>
    <mergeCell ref="H50:I50"/>
    <mergeCell ref="B15:D15"/>
    <mergeCell ref="E15:G15"/>
    <mergeCell ref="B17:D17"/>
    <mergeCell ref="E17:G17"/>
    <mergeCell ref="K48:L48"/>
    <mergeCell ref="K49:L49"/>
    <mergeCell ref="K46:L46"/>
    <mergeCell ref="K44:L44"/>
    <mergeCell ref="K18:L18"/>
    <mergeCell ref="K7:L7"/>
    <mergeCell ref="K8:L8"/>
    <mergeCell ref="K9:L9"/>
    <mergeCell ref="K11:L11"/>
    <mergeCell ref="K20:L20"/>
    <mergeCell ref="B12:D12"/>
    <mergeCell ref="B18:D18"/>
    <mergeCell ref="E18:G18"/>
    <mergeCell ref="B49:I49"/>
    <mergeCell ref="H37:I38"/>
    <mergeCell ref="H15:I18"/>
    <mergeCell ref="E13:G13"/>
    <mergeCell ref="H14:I14"/>
    <mergeCell ref="B46:C46"/>
    <mergeCell ref="D46:I46"/>
    <mergeCell ref="K47:L47"/>
    <mergeCell ref="K37:L37"/>
    <mergeCell ref="K38:L38"/>
    <mergeCell ref="K42:L42"/>
    <mergeCell ref="K43:L43"/>
    <mergeCell ref="C5:D5"/>
    <mergeCell ref="B47:I47"/>
    <mergeCell ref="H11:I13"/>
    <mergeCell ref="B10:D10"/>
    <mergeCell ref="B11:D11"/>
    <mergeCell ref="K12:L12"/>
    <mergeCell ref="K45:L45"/>
    <mergeCell ref="K15:L15"/>
    <mergeCell ref="K16:L16"/>
    <mergeCell ref="K17:L17"/>
    <mergeCell ref="K13:L13"/>
  </mergeCells>
  <phoneticPr fontId="33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6</vt:i4>
      </vt:variant>
    </vt:vector>
  </HeadingPairs>
  <TitlesOfParts>
    <vt:vector size="11" baseType="lpstr">
      <vt:lpstr>status of this document</vt:lpstr>
      <vt:lpstr>measurements and calculations</vt:lpstr>
      <vt:lpstr>min combined cross section</vt:lpstr>
      <vt:lpstr>rig sail measurement form</vt:lpstr>
      <vt:lpstr>certificate</vt:lpstr>
      <vt:lpstr>certificate!Druckbereich</vt:lpstr>
      <vt:lpstr>'measurements and calculations'!Druckbereich</vt:lpstr>
      <vt:lpstr>'min combined cross section'!Druckbereich</vt:lpstr>
      <vt:lpstr>'rig sail measurement form'!Druckbereich</vt:lpstr>
      <vt:lpstr>'status of this document'!Druckbereich</vt:lpstr>
      <vt:lpstr>'min combined cross section'!page35</vt:lpstr>
    </vt:vector>
  </TitlesOfParts>
  <Company>UoS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</dc:creator>
  <cp:lastModifiedBy>Faas, Henning</cp:lastModifiedBy>
  <cp:lastPrinted>2017-01-12T09:49:00Z</cp:lastPrinted>
  <dcterms:created xsi:type="dcterms:W3CDTF">2014-05-23T16:27:19Z</dcterms:created>
  <dcterms:modified xsi:type="dcterms:W3CDTF">2018-02-28T12:48:59Z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